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012"/>
  <workbookPr defaultThemeVersion="124226"/>
  <mc:AlternateContent xmlns:mc="http://schemas.openxmlformats.org/markup-compatibility/2006">
    <mc:Choice Requires="x15">
      <x15ac:absPath xmlns:x15ac="http://schemas.microsoft.com/office/spreadsheetml/2010/11/ac" url="/Users/darren/Documents/Blackwater models/"/>
    </mc:Choice>
  </mc:AlternateContent>
  <xr:revisionPtr revIDLastSave="0" documentId="13_ncr:1_{A548181A-80B6-B94E-A763-A29966645CE1}" xr6:coauthVersionLast="36" xr6:coauthVersionMax="36" xr10:uidLastSave="{00000000-0000-0000-0000-000000000000}"/>
  <bookViews>
    <workbookView xWindow="40300" yWindow="3840" windowWidth="33600" windowHeight="19160" firstSheet="1" activeTab="1" xr2:uid="{00000000-000D-0000-FFFF-FFFF00000000}"/>
  </bookViews>
  <sheets>
    <sheet name="introduction" sheetId="10" r:id="rId1"/>
    <sheet name="disclaimer" sheetId="8" r:id="rId2"/>
    <sheet name="1. Dilution flows" sheetId="4" r:id="rId3"/>
    <sheet name="2. Flow over structures" sheetId="6" r:id="rId4"/>
    <sheet name="3. Lake wind reaeration" sheetId="3" r:id="rId5"/>
    <sheet name="worksheet" sheetId="11" r:id="rId6"/>
    <sheet name="references" sheetId="7" r:id="rId7"/>
  </sheets>
  <calcPr calcId="181029"/>
</workbook>
</file>

<file path=xl/calcChain.xml><?xml version="1.0" encoding="utf-8"?>
<calcChain xmlns="http://schemas.openxmlformats.org/spreadsheetml/2006/main">
  <c r="A28" i="3" l="1"/>
  <c r="AL17" i="11"/>
  <c r="AL16" i="11"/>
  <c r="AL15" i="11"/>
  <c r="AL14" i="11"/>
  <c r="AL13" i="11"/>
  <c r="AL12" i="11"/>
  <c r="AL9" i="11"/>
  <c r="AL8" i="11"/>
  <c r="AL7" i="11"/>
  <c r="AL6" i="11"/>
  <c r="AL5" i="11"/>
  <c r="AF43" i="11"/>
  <c r="AF44" i="11" s="1"/>
  <c r="AF45" i="11" s="1"/>
  <c r="AF46" i="11" s="1"/>
  <c r="AF47" i="11" s="1"/>
  <c r="AF48" i="11" s="1"/>
  <c r="AF49" i="11" s="1"/>
  <c r="AF50" i="11" s="1"/>
  <c r="AF51" i="11" s="1"/>
  <c r="AF52" i="11" s="1"/>
  <c r="AF53" i="11" s="1"/>
  <c r="AF54" i="11" s="1"/>
  <c r="AF55" i="11" s="1"/>
  <c r="AF56" i="11" s="1"/>
  <c r="AF57" i="11" s="1"/>
  <c r="AF58" i="11" s="1"/>
  <c r="AF59" i="11" s="1"/>
  <c r="AF60" i="11" s="1"/>
  <c r="AF61" i="11" s="1"/>
  <c r="AF62" i="11" s="1"/>
  <c r="AF63" i="11" s="1"/>
  <c r="AF64" i="11" s="1"/>
  <c r="AF65" i="11" s="1"/>
  <c r="AF66" i="11" s="1"/>
  <c r="AF67" i="11" s="1"/>
  <c r="AF68" i="11" s="1"/>
  <c r="AF69" i="11" s="1"/>
  <c r="AF70" i="11" s="1"/>
  <c r="AF71" i="11" s="1"/>
  <c r="AF72" i="11" s="1"/>
  <c r="AF73" i="11" s="1"/>
  <c r="AF74" i="11" s="1"/>
  <c r="AF75" i="11" s="1"/>
  <c r="AF76" i="11" s="1"/>
  <c r="AF77" i="11" s="1"/>
  <c r="AF78" i="11" s="1"/>
  <c r="AF79" i="11" s="1"/>
  <c r="AF80" i="11" s="1"/>
  <c r="AF81" i="11" s="1"/>
  <c r="AF82" i="11" s="1"/>
  <c r="AF83" i="11" s="1"/>
  <c r="AF84" i="11" s="1"/>
  <c r="AF85" i="11" s="1"/>
  <c r="AF86" i="11" s="1"/>
  <c r="AF87" i="11" s="1"/>
  <c r="AF88" i="11" s="1"/>
  <c r="AF89" i="11" s="1"/>
  <c r="AF90" i="11" s="1"/>
  <c r="AF91" i="11" s="1"/>
  <c r="AF92" i="11" s="1"/>
  <c r="AF93" i="11" s="1"/>
  <c r="AF94" i="11" s="1"/>
  <c r="AF95" i="11" s="1"/>
  <c r="AF96" i="11" s="1"/>
  <c r="AF97" i="11" s="1"/>
  <c r="AF98" i="11" s="1"/>
  <c r="AF99" i="11" s="1"/>
  <c r="AF100" i="11" s="1"/>
  <c r="AF101" i="11" s="1"/>
  <c r="AF102" i="11" s="1"/>
  <c r="AF103" i="11" s="1"/>
  <c r="AF104" i="11" s="1"/>
  <c r="AF105" i="11" s="1"/>
  <c r="AF106" i="11" s="1"/>
  <c r="AF107" i="11" s="1"/>
  <c r="AF108" i="11" s="1"/>
  <c r="AF109" i="11" s="1"/>
  <c r="AF110" i="11" s="1"/>
  <c r="AF111" i="11" s="1"/>
  <c r="AF112" i="11" s="1"/>
  <c r="AF113" i="11" s="1"/>
  <c r="AF114" i="11" s="1"/>
  <c r="AF115" i="11" s="1"/>
  <c r="AF116" i="11" s="1"/>
  <c r="AF117" i="11" s="1"/>
  <c r="AF118" i="11" s="1"/>
  <c r="AF119" i="11" s="1"/>
  <c r="AF120" i="11" s="1"/>
  <c r="AF121" i="11" s="1"/>
  <c r="AF122" i="11" s="1"/>
  <c r="AF123" i="11" s="1"/>
  <c r="AF124" i="11" s="1"/>
  <c r="AF125" i="11" s="1"/>
  <c r="AF126" i="11" s="1"/>
  <c r="AF127" i="11" s="1"/>
  <c r="AF128" i="11" s="1"/>
  <c r="AF129" i="11" s="1"/>
  <c r="AF130" i="11" s="1"/>
  <c r="AF131" i="11" s="1"/>
  <c r="AF132" i="11" s="1"/>
  <c r="AF133" i="11" s="1"/>
  <c r="AF134" i="11" s="1"/>
  <c r="AF135" i="11" s="1"/>
  <c r="AF136" i="11" s="1"/>
  <c r="AF137" i="11" s="1"/>
  <c r="AF138" i="11" s="1"/>
  <c r="AF139" i="11" s="1"/>
  <c r="AF140" i="11" s="1"/>
  <c r="AF141" i="11" s="1"/>
  <c r="AF142" i="11" s="1"/>
  <c r="A128" i="3" s="1"/>
  <c r="A47" i="6"/>
  <c r="Q61" i="11"/>
  <c r="A48" i="6" s="1"/>
  <c r="W17" i="11"/>
  <c r="W16" i="11"/>
  <c r="W13" i="11"/>
  <c r="W12" i="11"/>
  <c r="W11" i="11"/>
  <c r="W8" i="11"/>
  <c r="W39" i="11" s="1"/>
  <c r="W7" i="11"/>
  <c r="W52" i="11" s="1"/>
  <c r="W6" i="11"/>
  <c r="W5" i="11"/>
  <c r="A30" i="4"/>
  <c r="A43" i="11"/>
  <c r="G18" i="11"/>
  <c r="G17" i="11"/>
  <c r="G14" i="11"/>
  <c r="G13" i="11"/>
  <c r="G12" i="11"/>
  <c r="G11" i="11"/>
  <c r="G8" i="11"/>
  <c r="G7" i="11"/>
  <c r="G6" i="11"/>
  <c r="G5" i="11"/>
  <c r="A57" i="3" l="1"/>
  <c r="A51" i="3"/>
  <c r="A49" i="3"/>
  <c r="A43" i="3"/>
  <c r="A41" i="3"/>
  <c r="A75" i="3"/>
  <c r="A35" i="3"/>
  <c r="A67" i="3"/>
  <c r="A33" i="3"/>
  <c r="A59" i="3"/>
  <c r="A32" i="3"/>
  <c r="A115" i="3"/>
  <c r="A83" i="3"/>
  <c r="A105" i="3"/>
  <c r="A124" i="3"/>
  <c r="A116" i="3"/>
  <c r="A108" i="3"/>
  <c r="A100" i="3"/>
  <c r="A92" i="3"/>
  <c r="A84" i="3"/>
  <c r="A76" i="3"/>
  <c r="A68" i="3"/>
  <c r="A60" i="3"/>
  <c r="A52" i="3"/>
  <c r="A44" i="3"/>
  <c r="A36" i="3"/>
  <c r="A122" i="3"/>
  <c r="A114" i="3"/>
  <c r="A106" i="3"/>
  <c r="A98" i="3"/>
  <c r="A90" i="3"/>
  <c r="A82" i="3"/>
  <c r="A74" i="3"/>
  <c r="A66" i="3"/>
  <c r="A58" i="3"/>
  <c r="A50" i="3"/>
  <c r="A42" i="3"/>
  <c r="A34" i="3"/>
  <c r="A99" i="3"/>
  <c r="A97" i="3"/>
  <c r="A73" i="3"/>
  <c r="A104" i="3"/>
  <c r="A72" i="3"/>
  <c r="A127" i="3"/>
  <c r="A119" i="3"/>
  <c r="A111" i="3"/>
  <c r="A103" i="3"/>
  <c r="A95" i="3"/>
  <c r="A87" i="3"/>
  <c r="A79" i="3"/>
  <c r="A71" i="3"/>
  <c r="A63" i="3"/>
  <c r="A55" i="3"/>
  <c r="A47" i="3"/>
  <c r="A39" i="3"/>
  <c r="A31" i="3"/>
  <c r="A123" i="3"/>
  <c r="A91" i="3"/>
  <c r="A113" i="3"/>
  <c r="A89" i="3"/>
  <c r="A65" i="3"/>
  <c r="A112" i="3"/>
  <c r="A96" i="3"/>
  <c r="A80" i="3"/>
  <c r="A56" i="3"/>
  <c r="A40" i="3"/>
  <c r="A126" i="3"/>
  <c r="A118" i="3"/>
  <c r="A110" i="3"/>
  <c r="A102" i="3"/>
  <c r="A94" i="3"/>
  <c r="A86" i="3"/>
  <c r="A78" i="3"/>
  <c r="A70" i="3"/>
  <c r="A62" i="3"/>
  <c r="A54" i="3"/>
  <c r="A46" i="3"/>
  <c r="A38" i="3"/>
  <c r="A30" i="3"/>
  <c r="A107" i="3"/>
  <c r="A121" i="3"/>
  <c r="A81" i="3"/>
  <c r="A120" i="3"/>
  <c r="A88" i="3"/>
  <c r="A64" i="3"/>
  <c r="A48" i="3"/>
  <c r="A125" i="3"/>
  <c r="A117" i="3"/>
  <c r="A109" i="3"/>
  <c r="A101" i="3"/>
  <c r="A93" i="3"/>
  <c r="A85" i="3"/>
  <c r="A77" i="3"/>
  <c r="A69" i="3"/>
  <c r="A61" i="3"/>
  <c r="A53" i="3"/>
  <c r="A45" i="3"/>
  <c r="A37" i="3"/>
  <c r="A29" i="3"/>
  <c r="AL22" i="11"/>
  <c r="AL27" i="11"/>
  <c r="AL28" i="11"/>
  <c r="Q62" i="11"/>
  <c r="AL29" i="11"/>
  <c r="W45" i="11"/>
  <c r="W46" i="11" s="1"/>
  <c r="W51" i="11"/>
  <c r="G39" i="6" s="1"/>
  <c r="W47" i="11"/>
  <c r="G29" i="11"/>
  <c r="A44" i="11"/>
  <c r="A31" i="4"/>
  <c r="G33" i="11"/>
  <c r="G28" i="11"/>
  <c r="G22" i="4" s="1"/>
  <c r="G31" i="11"/>
  <c r="AH42" i="11" l="1"/>
  <c r="AJ42" i="11" s="1"/>
  <c r="AL21" i="11"/>
  <c r="G30" i="11"/>
  <c r="G32" i="11" s="1"/>
  <c r="G22" i="11"/>
  <c r="AL30" i="11"/>
  <c r="AL31" i="11" s="1"/>
  <c r="AL42" i="11" s="1"/>
  <c r="AL23" i="11"/>
  <c r="AL32" i="11"/>
  <c r="AG42" i="11" s="1"/>
  <c r="F22" i="3"/>
  <c r="AM42" i="11"/>
  <c r="B28" i="3" s="1"/>
  <c r="F21" i="3"/>
  <c r="AL35" i="11"/>
  <c r="A49" i="6"/>
  <c r="Q63" i="11"/>
  <c r="S63" i="11" s="1"/>
  <c r="C50" i="6" s="1"/>
  <c r="W40" i="11"/>
  <c r="W41" i="11" s="1"/>
  <c r="S62" i="11"/>
  <c r="C49" i="6" s="1"/>
  <c r="S61" i="11"/>
  <c r="C48" i="6" s="1"/>
  <c r="W48" i="11"/>
  <c r="W49" i="11" s="1"/>
  <c r="G23" i="11"/>
  <c r="G24" i="11" s="1"/>
  <c r="C43" i="11"/>
  <c r="C31" i="4" s="1"/>
  <c r="G37" i="11"/>
  <c r="G23" i="4"/>
  <c r="G34" i="11"/>
  <c r="G24" i="4"/>
  <c r="A45" i="11"/>
  <c r="A32" i="4"/>
  <c r="C44" i="11"/>
  <c r="C32" i="4" s="1"/>
  <c r="M18" i="3"/>
  <c r="AI42" i="11" l="1"/>
  <c r="AK42" i="11"/>
  <c r="AH43" i="11"/>
  <c r="AI43" i="11" s="1"/>
  <c r="AG43" i="11"/>
  <c r="AG44" i="11" s="1"/>
  <c r="AG45" i="11" s="1"/>
  <c r="AG46" i="11" s="1"/>
  <c r="AG47" i="11" s="1"/>
  <c r="AG48" i="11" s="1"/>
  <c r="AG49" i="11" s="1"/>
  <c r="AG50" i="11" s="1"/>
  <c r="AG51" i="11" s="1"/>
  <c r="AG52" i="11" s="1"/>
  <c r="AG53" i="11" s="1"/>
  <c r="AG54" i="11" s="1"/>
  <c r="AG55" i="11" s="1"/>
  <c r="AG56" i="11" s="1"/>
  <c r="AG57" i="11" s="1"/>
  <c r="AG58" i="11" s="1"/>
  <c r="AG59" i="11" s="1"/>
  <c r="AG60" i="11" s="1"/>
  <c r="AG61" i="11" s="1"/>
  <c r="AG62" i="11" s="1"/>
  <c r="AG63" i="11" s="1"/>
  <c r="AG64" i="11" s="1"/>
  <c r="AG65" i="11" s="1"/>
  <c r="AG66" i="11" s="1"/>
  <c r="AG67" i="11" s="1"/>
  <c r="AG68" i="11" s="1"/>
  <c r="AG69" i="11" s="1"/>
  <c r="AG70" i="11" s="1"/>
  <c r="AG71" i="11" s="1"/>
  <c r="AG72" i="11" s="1"/>
  <c r="AG73" i="11" s="1"/>
  <c r="AG74" i="11" s="1"/>
  <c r="AG75" i="11" s="1"/>
  <c r="AG76" i="11" s="1"/>
  <c r="AG77" i="11" s="1"/>
  <c r="AG78" i="11" s="1"/>
  <c r="AG79" i="11" s="1"/>
  <c r="AG80" i="11" s="1"/>
  <c r="AG81" i="11" s="1"/>
  <c r="AG82" i="11" s="1"/>
  <c r="AG83" i="11" s="1"/>
  <c r="AG84" i="11" s="1"/>
  <c r="AG85" i="11" s="1"/>
  <c r="AG86" i="11" s="1"/>
  <c r="AG87" i="11" s="1"/>
  <c r="AG88" i="11" s="1"/>
  <c r="AG89" i="11" s="1"/>
  <c r="AG90" i="11" s="1"/>
  <c r="AG91" i="11" s="1"/>
  <c r="AG92" i="11" s="1"/>
  <c r="AG93" i="11" s="1"/>
  <c r="AG94" i="11" s="1"/>
  <c r="AG95" i="11" s="1"/>
  <c r="AG96" i="11" s="1"/>
  <c r="AG97" i="11" s="1"/>
  <c r="AG98" i="11" s="1"/>
  <c r="AG99" i="11" s="1"/>
  <c r="AG100" i="11" s="1"/>
  <c r="AG101" i="11" s="1"/>
  <c r="AG102" i="11" s="1"/>
  <c r="AG103" i="11" s="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50" i="6"/>
  <c r="Q64" i="11"/>
  <c r="W50" i="11"/>
  <c r="G40" i="6" s="1"/>
  <c r="G41" i="6"/>
  <c r="U60" i="11"/>
  <c r="U61" i="11"/>
  <c r="W55" i="11"/>
  <c r="C42" i="11"/>
  <c r="C30" i="4" s="1"/>
  <c r="E43" i="11"/>
  <c r="E45" i="11"/>
  <c r="E42" i="11"/>
  <c r="E44" i="11"/>
  <c r="A46" i="11"/>
  <c r="E46" i="11" s="1"/>
  <c r="C45" i="11"/>
  <c r="C33" i="4" s="1"/>
  <c r="A33" i="4"/>
  <c r="AK43" i="11" l="1"/>
  <c r="AM43" i="11"/>
  <c r="AL43" i="11" s="1"/>
  <c r="AH44" i="11"/>
  <c r="AH45" i="11" s="1"/>
  <c r="AJ43" i="11"/>
  <c r="Q65" i="11"/>
  <c r="A51" i="6"/>
  <c r="S64" i="11"/>
  <c r="C51" i="6" s="1"/>
  <c r="W61" i="11"/>
  <c r="E48" i="6" s="1"/>
  <c r="W60" i="11"/>
  <c r="E47" i="6" s="1"/>
  <c r="G46" i="11"/>
  <c r="E34" i="4" s="1"/>
  <c r="A47" i="11"/>
  <c r="A34" i="4"/>
  <c r="C46" i="11"/>
  <c r="C34" i="4" s="1"/>
  <c r="G44" i="11"/>
  <c r="G43" i="11"/>
  <c r="E31" i="4" s="1"/>
  <c r="G42" i="11"/>
  <c r="E30" i="4" s="1"/>
  <c r="G45" i="11"/>
  <c r="E33" i="4" s="1"/>
  <c r="B29" i="3" l="1"/>
  <c r="AI45" i="11"/>
  <c r="AH46" i="11"/>
  <c r="AJ46" i="11" s="1"/>
  <c r="AM44" i="11"/>
  <c r="AL44" i="11" s="1"/>
  <c r="AI44" i="11"/>
  <c r="AJ44" i="11"/>
  <c r="AK44" i="11"/>
  <c r="AK45" i="11"/>
  <c r="AJ45" i="11"/>
  <c r="A52" i="6"/>
  <c r="Q66" i="11"/>
  <c r="S65" i="11"/>
  <c r="C52" i="6" s="1"/>
  <c r="E32" i="4"/>
  <c r="A48" i="11"/>
  <c r="C47" i="11"/>
  <c r="C35" i="4" s="1"/>
  <c r="A35" i="4"/>
  <c r="E47" i="11"/>
  <c r="B30" i="3" l="1"/>
  <c r="AI46" i="11"/>
  <c r="AM45" i="11"/>
  <c r="B31" i="3" s="1"/>
  <c r="AH47" i="11"/>
  <c r="AJ47" i="11" s="1"/>
  <c r="AK46" i="11"/>
  <c r="A53" i="6"/>
  <c r="Q67" i="11"/>
  <c r="S66" i="11"/>
  <c r="C53" i="6" s="1"/>
  <c r="U62" i="11"/>
  <c r="G47" i="11"/>
  <c r="E35" i="4" s="1"/>
  <c r="A49" i="11"/>
  <c r="A36" i="4"/>
  <c r="C48" i="11"/>
  <c r="C36" i="4" s="1"/>
  <c r="E48" i="11"/>
  <c r="AL45" i="11" l="1"/>
  <c r="AM46" i="11" s="1"/>
  <c r="B32" i="3" s="1"/>
  <c r="AI47" i="11"/>
  <c r="AK47" i="11"/>
  <c r="AH48" i="11"/>
  <c r="AH49" i="11" s="1"/>
  <c r="A54" i="6"/>
  <c r="Q68" i="11"/>
  <c r="S67" i="11"/>
  <c r="C54" i="6" s="1"/>
  <c r="W62" i="11"/>
  <c r="E49" i="6" s="1"/>
  <c r="U63" i="11"/>
  <c r="G48" i="11"/>
  <c r="E36" i="4" s="1"/>
  <c r="A50" i="11"/>
  <c r="C49" i="11"/>
  <c r="C37" i="4" s="1"/>
  <c r="A37" i="4"/>
  <c r="E49" i="11"/>
  <c r="AL46" i="11" l="1"/>
  <c r="AM47" i="11" s="1"/>
  <c r="B33" i="3" s="1"/>
  <c r="AJ49" i="11"/>
  <c r="AH50" i="11"/>
  <c r="AJ50" i="11" s="1"/>
  <c r="AI49" i="11"/>
  <c r="AK49" i="11"/>
  <c r="AI48" i="11"/>
  <c r="AJ48" i="11"/>
  <c r="AK48" i="11"/>
  <c r="A55" i="6"/>
  <c r="Q69" i="11"/>
  <c r="S68" i="11"/>
  <c r="C55" i="6" s="1"/>
  <c r="W63" i="11"/>
  <c r="E50" i="6" s="1"/>
  <c r="U64" i="11"/>
  <c r="G49" i="11"/>
  <c r="E37" i="4" s="1"/>
  <c r="A51" i="11"/>
  <c r="A38" i="4"/>
  <c r="C50" i="11"/>
  <c r="C38" i="4" s="1"/>
  <c r="E50" i="11"/>
  <c r="AL47" i="11" l="1"/>
  <c r="AM48" i="11" s="1"/>
  <c r="B34" i="3" s="1"/>
  <c r="AK50" i="11"/>
  <c r="AI50" i="11"/>
  <c r="AH51" i="11"/>
  <c r="AJ51" i="11" s="1"/>
  <c r="Q70" i="11"/>
  <c r="A56" i="6"/>
  <c r="S69" i="11"/>
  <c r="C56" i="6" s="1"/>
  <c r="W64" i="11"/>
  <c r="E51" i="6" s="1"/>
  <c r="U65" i="11"/>
  <c r="G50" i="11"/>
  <c r="A52" i="11"/>
  <c r="C51" i="11"/>
  <c r="C39" i="4" s="1"/>
  <c r="A39" i="4"/>
  <c r="E51" i="11"/>
  <c r="AL48" i="11" l="1"/>
  <c r="AM49" i="11" s="1"/>
  <c r="B35" i="3" s="1"/>
  <c r="AK51" i="11"/>
  <c r="AI51" i="11"/>
  <c r="AH52" i="11"/>
  <c r="AJ52" i="11" s="1"/>
  <c r="Q71" i="11"/>
  <c r="A57" i="6"/>
  <c r="S70" i="11"/>
  <c r="C57" i="6" s="1"/>
  <c r="W65" i="11"/>
  <c r="E52" i="6" s="1"/>
  <c r="E38" i="4"/>
  <c r="U66" i="11"/>
  <c r="G51" i="11"/>
  <c r="E39" i="4" s="1"/>
  <c r="A53" i="11"/>
  <c r="C52" i="11"/>
  <c r="C40" i="4" s="1"/>
  <c r="A40" i="4"/>
  <c r="E52" i="11"/>
  <c r="AL49" i="11" l="1"/>
  <c r="AM50" i="11" s="1"/>
  <c r="B36" i="3" s="1"/>
  <c r="AK52" i="11"/>
  <c r="AI52" i="11"/>
  <c r="AH53" i="11"/>
  <c r="AJ53" i="11" s="1"/>
  <c r="Q72" i="11"/>
  <c r="A58" i="6"/>
  <c r="S71" i="11"/>
  <c r="C58" i="6" s="1"/>
  <c r="W66" i="11"/>
  <c r="E53" i="6" s="1"/>
  <c r="U67" i="11"/>
  <c r="G52" i="11"/>
  <c r="E40" i="4" s="1"/>
  <c r="A54" i="11"/>
  <c r="A41" i="4"/>
  <c r="C53" i="11"/>
  <c r="C41" i="4" s="1"/>
  <c r="E53" i="11"/>
  <c r="AL50" i="11" l="1"/>
  <c r="AM51" i="11" s="1"/>
  <c r="B37" i="3" s="1"/>
  <c r="AK53" i="11"/>
  <c r="AH54" i="11"/>
  <c r="AJ54" i="11" s="1"/>
  <c r="AI53" i="11"/>
  <c r="Q73" i="11"/>
  <c r="A59" i="6"/>
  <c r="S72" i="11"/>
  <c r="C59" i="6" s="1"/>
  <c r="W67" i="11"/>
  <c r="E54" i="6" s="1"/>
  <c r="U68" i="11"/>
  <c r="G53" i="11"/>
  <c r="A55" i="11"/>
  <c r="A42" i="4"/>
  <c r="C54" i="11"/>
  <c r="C42" i="4" s="1"/>
  <c r="E54" i="11"/>
  <c r="AL51" i="11" l="1"/>
  <c r="AM52" i="11" s="1"/>
  <c r="B38" i="3" s="1"/>
  <c r="AK54" i="11"/>
  <c r="AI54" i="11"/>
  <c r="AH55" i="11"/>
  <c r="AJ55" i="11" s="1"/>
  <c r="Q74" i="11"/>
  <c r="A60" i="6"/>
  <c r="S73" i="11"/>
  <c r="C60" i="6" s="1"/>
  <c r="W68" i="11"/>
  <c r="E55" i="6" s="1"/>
  <c r="E41" i="4"/>
  <c r="S60" i="11"/>
  <c r="C47" i="6" s="1"/>
  <c r="U69" i="11"/>
  <c r="G54" i="11"/>
  <c r="A56" i="11"/>
  <c r="C55" i="11"/>
  <c r="C43" i="4" s="1"/>
  <c r="A43" i="4"/>
  <c r="E55" i="11"/>
  <c r="AL52" i="11" l="1"/>
  <c r="AM53" i="11" s="1"/>
  <c r="B39" i="3" s="1"/>
  <c r="AK55" i="11"/>
  <c r="AH56" i="11"/>
  <c r="AJ56" i="11" s="1"/>
  <c r="AI55" i="11"/>
  <c r="Q75" i="11"/>
  <c r="A61" i="6"/>
  <c r="S74" i="11"/>
  <c r="C61" i="6" s="1"/>
  <c r="W69" i="11"/>
  <c r="E56" i="6" s="1"/>
  <c r="U70" i="11"/>
  <c r="E42" i="4"/>
  <c r="G55" i="11"/>
  <c r="E43" i="4" s="1"/>
  <c r="A57" i="11"/>
  <c r="A44" i="4"/>
  <c r="C56" i="11"/>
  <c r="C44" i="4" s="1"/>
  <c r="E56" i="11"/>
  <c r="AL53" i="11" l="1"/>
  <c r="AM54" i="11" s="1"/>
  <c r="B40" i="3" s="1"/>
  <c r="AK56" i="11"/>
  <c r="AI56" i="11"/>
  <c r="AH57" i="11"/>
  <c r="AJ57" i="11" s="1"/>
  <c r="Q76" i="11"/>
  <c r="A62" i="6"/>
  <c r="S75" i="11"/>
  <c r="C62" i="6" s="1"/>
  <c r="W70" i="11"/>
  <c r="E57" i="6" s="1"/>
  <c r="U71" i="11"/>
  <c r="G56" i="11"/>
  <c r="E44" i="4" s="1"/>
  <c r="A58" i="11"/>
  <c r="A45" i="4"/>
  <c r="C57" i="11"/>
  <c r="C45" i="4" s="1"/>
  <c r="E57" i="11"/>
  <c r="AL54" i="11" l="1"/>
  <c r="AM55" i="11" s="1"/>
  <c r="B41" i="3" s="1"/>
  <c r="AK57" i="11"/>
  <c r="AH58" i="11"/>
  <c r="AJ58" i="11" s="1"/>
  <c r="AI57" i="11"/>
  <c r="Q77" i="11"/>
  <c r="A63" i="6"/>
  <c r="S76" i="11"/>
  <c r="C63" i="6" s="1"/>
  <c r="W71" i="11"/>
  <c r="E58" i="6" s="1"/>
  <c r="U72" i="11"/>
  <c r="G57" i="11"/>
  <c r="E45" i="4" s="1"/>
  <c r="A59" i="11"/>
  <c r="A46" i="4"/>
  <c r="C58" i="11"/>
  <c r="C46" i="4" s="1"/>
  <c r="E58" i="11"/>
  <c r="AL55" i="11" l="1"/>
  <c r="AM56" i="11" s="1"/>
  <c r="B42" i="3" s="1"/>
  <c r="AK58" i="11"/>
  <c r="AI58" i="11"/>
  <c r="AH59" i="11"/>
  <c r="AJ59" i="11" s="1"/>
  <c r="Q78" i="11"/>
  <c r="A64" i="6"/>
  <c r="S77" i="11"/>
  <c r="C64" i="6" s="1"/>
  <c r="W72" i="11"/>
  <c r="E59" i="6" s="1"/>
  <c r="U73" i="11"/>
  <c r="G58" i="11"/>
  <c r="E46" i="4" s="1"/>
  <c r="A60" i="11"/>
  <c r="A47" i="4"/>
  <c r="C59" i="11"/>
  <c r="C47" i="4" s="1"/>
  <c r="E59" i="11"/>
  <c r="AL56" i="11" l="1"/>
  <c r="AM57" i="11" s="1"/>
  <c r="B43" i="3" s="1"/>
  <c r="AK59" i="11"/>
  <c r="AI59" i="11"/>
  <c r="AH60" i="11"/>
  <c r="AJ60" i="11" s="1"/>
  <c r="Q79" i="11"/>
  <c r="A65" i="6"/>
  <c r="S78" i="11"/>
  <c r="C65" i="6" s="1"/>
  <c r="W73" i="11"/>
  <c r="E60" i="6" s="1"/>
  <c r="U74" i="11"/>
  <c r="G59" i="11"/>
  <c r="E47" i="4" s="1"/>
  <c r="A61" i="11"/>
  <c r="A48" i="4"/>
  <c r="C60" i="11"/>
  <c r="C48" i="4" s="1"/>
  <c r="E60" i="11"/>
  <c r="AL57" i="11" l="1"/>
  <c r="AM58" i="11" s="1"/>
  <c r="B44" i="3" s="1"/>
  <c r="AK60" i="11"/>
  <c r="AH61" i="11"/>
  <c r="AJ61" i="11" s="1"/>
  <c r="AI60" i="11"/>
  <c r="Q80" i="11"/>
  <c r="A66" i="6"/>
  <c r="S79" i="11"/>
  <c r="C66" i="6" s="1"/>
  <c r="W74" i="11"/>
  <c r="E61" i="6" s="1"/>
  <c r="U75" i="11"/>
  <c r="G60" i="11"/>
  <c r="E48" i="4" s="1"/>
  <c r="A62" i="11"/>
  <c r="A49" i="4"/>
  <c r="C61" i="11"/>
  <c r="C49" i="4" s="1"/>
  <c r="E61" i="11"/>
  <c r="AL58" i="11" l="1"/>
  <c r="AM59" i="11" s="1"/>
  <c r="B45" i="3" s="1"/>
  <c r="AK61" i="11"/>
  <c r="AI61" i="11"/>
  <c r="AH62" i="11"/>
  <c r="AJ62" i="11" s="1"/>
  <c r="Q81" i="11"/>
  <c r="A67" i="6"/>
  <c r="S80" i="11"/>
  <c r="C67" i="6" s="1"/>
  <c r="W75" i="11"/>
  <c r="E62" i="6" s="1"/>
  <c r="U76" i="11"/>
  <c r="G61" i="11"/>
  <c r="E49" i="4" s="1"/>
  <c r="A63" i="11"/>
  <c r="A50" i="4"/>
  <c r="C62" i="11"/>
  <c r="C50" i="4" s="1"/>
  <c r="E62" i="11"/>
  <c r="AL59" i="11" l="1"/>
  <c r="AM60" i="11" s="1"/>
  <c r="B46" i="3" s="1"/>
  <c r="AK62" i="11"/>
  <c r="AH63" i="11"/>
  <c r="AJ63" i="11" s="1"/>
  <c r="AI62" i="11"/>
  <c r="Q82" i="11"/>
  <c r="A68" i="6"/>
  <c r="S81" i="11"/>
  <c r="C68" i="6" s="1"/>
  <c r="W76" i="11"/>
  <c r="E63" i="6" s="1"/>
  <c r="U77" i="11"/>
  <c r="G62" i="11"/>
  <c r="E50" i="4" s="1"/>
  <c r="A64" i="11"/>
  <c r="C63" i="11"/>
  <c r="C51" i="4" s="1"/>
  <c r="A51" i="4"/>
  <c r="E63" i="11"/>
  <c r="AL60" i="11" l="1"/>
  <c r="AM61" i="11" s="1"/>
  <c r="B47" i="3" s="1"/>
  <c r="AK63" i="11"/>
  <c r="AI63" i="11"/>
  <c r="AH64" i="11"/>
  <c r="AJ64" i="11" s="1"/>
  <c r="Q83" i="11"/>
  <c r="A69" i="6"/>
  <c r="S82" i="11"/>
  <c r="C69" i="6" s="1"/>
  <c r="W77" i="11"/>
  <c r="E64" i="6" s="1"/>
  <c r="U78" i="11"/>
  <c r="G63" i="11"/>
  <c r="E51" i="4" s="1"/>
  <c r="A65" i="11"/>
  <c r="A52" i="4"/>
  <c r="C64" i="11"/>
  <c r="C52" i="4" s="1"/>
  <c r="E64" i="11"/>
  <c r="AL61" i="11" l="1"/>
  <c r="AM62" i="11" s="1"/>
  <c r="B48" i="3" s="1"/>
  <c r="AK64" i="11"/>
  <c r="AI64" i="11"/>
  <c r="AH65" i="11"/>
  <c r="AJ65" i="11" s="1"/>
  <c r="Q84" i="11"/>
  <c r="A70" i="6"/>
  <c r="S83" i="11"/>
  <c r="C70" i="6" s="1"/>
  <c r="W78" i="11"/>
  <c r="E65" i="6" s="1"/>
  <c r="U79" i="11"/>
  <c r="G64" i="11"/>
  <c r="E52" i="4" s="1"/>
  <c r="A66" i="11"/>
  <c r="C65" i="11"/>
  <c r="C53" i="4" s="1"/>
  <c r="A53" i="4"/>
  <c r="E65" i="11"/>
  <c r="AL62" i="11" l="1"/>
  <c r="AM63" i="11" s="1"/>
  <c r="B49" i="3" s="1"/>
  <c r="AK65" i="11"/>
  <c r="AI65" i="11"/>
  <c r="AH66" i="11"/>
  <c r="AJ66" i="11" s="1"/>
  <c r="Q85" i="11"/>
  <c r="A71" i="6"/>
  <c r="S84" i="11"/>
  <c r="C71" i="6" s="1"/>
  <c r="W79" i="11"/>
  <c r="E66" i="6" s="1"/>
  <c r="U80" i="11"/>
  <c r="A67" i="11"/>
  <c r="A54" i="4"/>
  <c r="C66" i="11"/>
  <c r="C54" i="4" s="1"/>
  <c r="E66" i="11"/>
  <c r="G65" i="11"/>
  <c r="E53" i="4" s="1"/>
  <c r="AH67" i="11" l="1"/>
  <c r="AJ67" i="11" s="1"/>
  <c r="AL63" i="11"/>
  <c r="AM64" i="11" s="1"/>
  <c r="B50" i="3" s="1"/>
  <c r="AK66" i="11"/>
  <c r="AI66" i="11"/>
  <c r="Q86" i="11"/>
  <c r="A72" i="6"/>
  <c r="S85" i="11"/>
  <c r="C72" i="6" s="1"/>
  <c r="AI67" i="11"/>
  <c r="AK67" i="11"/>
  <c r="W80" i="11"/>
  <c r="E67" i="6" s="1"/>
  <c r="U81" i="11"/>
  <c r="G66" i="11"/>
  <c r="E54" i="4" s="1"/>
  <c r="A68" i="11"/>
  <c r="C67" i="11"/>
  <c r="C55" i="4" s="1"/>
  <c r="A55" i="4"/>
  <c r="E67" i="11"/>
  <c r="AH68" i="11" l="1"/>
  <c r="AJ68" i="11" s="1"/>
  <c r="AL64" i="11"/>
  <c r="AM65" i="11" s="1"/>
  <c r="B51" i="3" s="1"/>
  <c r="Q87" i="11"/>
  <c r="A73" i="6"/>
  <c r="S86" i="11"/>
  <c r="C73" i="6" s="1"/>
  <c r="AH69" i="11"/>
  <c r="AJ69" i="11" s="1"/>
  <c r="AI68" i="11"/>
  <c r="AK68" i="11"/>
  <c r="W81" i="11"/>
  <c r="E68" i="6" s="1"/>
  <c r="U82" i="11"/>
  <c r="G67" i="11"/>
  <c r="E55" i="4" s="1"/>
  <c r="A69" i="11"/>
  <c r="A56" i="4"/>
  <c r="C68" i="11"/>
  <c r="C56" i="4" s="1"/>
  <c r="E68" i="11"/>
  <c r="AL65" i="11" l="1"/>
  <c r="AM66" i="11" s="1"/>
  <c r="B52" i="3" s="1"/>
  <c r="Q88" i="11"/>
  <c r="A74" i="6"/>
  <c r="S87" i="11"/>
  <c r="C74" i="6" s="1"/>
  <c r="AH70" i="11"/>
  <c r="AJ70" i="11" s="1"/>
  <c r="AI69" i="11"/>
  <c r="AK69" i="11"/>
  <c r="W82" i="11"/>
  <c r="E69" i="6" s="1"/>
  <c r="U83" i="11"/>
  <c r="G68" i="11"/>
  <c r="E56" i="4" s="1"/>
  <c r="A70" i="11"/>
  <c r="C69" i="11"/>
  <c r="C57" i="4" s="1"/>
  <c r="A57" i="4"/>
  <c r="E69" i="11"/>
  <c r="AL66" i="11" l="1"/>
  <c r="AM67" i="11" s="1"/>
  <c r="B53" i="3" s="1"/>
  <c r="Q89" i="11"/>
  <c r="A75" i="6"/>
  <c r="S88" i="11"/>
  <c r="C75" i="6" s="1"/>
  <c r="AH71" i="11"/>
  <c r="AJ71" i="11" s="1"/>
  <c r="AI70" i="11"/>
  <c r="AK70" i="11"/>
  <c r="W83" i="11"/>
  <c r="E70" i="6" s="1"/>
  <c r="U84" i="11"/>
  <c r="G69" i="11"/>
  <c r="E57" i="4" s="1"/>
  <c r="A71" i="11"/>
  <c r="A58" i="4"/>
  <c r="C70" i="11"/>
  <c r="C58" i="4" s="1"/>
  <c r="E70" i="11"/>
  <c r="AL67" i="11" l="1"/>
  <c r="AM68" i="11" s="1"/>
  <c r="B54" i="3" s="1"/>
  <c r="Q90" i="11"/>
  <c r="A76" i="6"/>
  <c r="S89" i="11"/>
  <c r="C76" i="6" s="1"/>
  <c r="AH72" i="11"/>
  <c r="AJ72" i="11" s="1"/>
  <c r="AI71" i="11"/>
  <c r="AK71" i="11"/>
  <c r="W84" i="11"/>
  <c r="E71" i="6" s="1"/>
  <c r="U85" i="11"/>
  <c r="G70" i="11"/>
  <c r="E58" i="4" s="1"/>
  <c r="A72" i="11"/>
  <c r="C71" i="11"/>
  <c r="C59" i="4" s="1"/>
  <c r="A59" i="4"/>
  <c r="E71" i="11"/>
  <c r="AL68" i="11" l="1"/>
  <c r="AM69" i="11" s="1"/>
  <c r="B55" i="3" s="1"/>
  <c r="Q91" i="11"/>
  <c r="A77" i="6"/>
  <c r="S90" i="11"/>
  <c r="C77" i="6" s="1"/>
  <c r="AH73" i="11"/>
  <c r="AJ73" i="11" s="1"/>
  <c r="AI72" i="11"/>
  <c r="AK72" i="11"/>
  <c r="W85" i="11"/>
  <c r="E72" i="6" s="1"/>
  <c r="U86" i="11"/>
  <c r="A73" i="11"/>
  <c r="A60" i="4"/>
  <c r="C72" i="11"/>
  <c r="C60" i="4" s="1"/>
  <c r="E72" i="11"/>
  <c r="G71" i="11"/>
  <c r="E59" i="4" s="1"/>
  <c r="AL69" i="11" l="1"/>
  <c r="AM70" i="11" s="1"/>
  <c r="B56" i="3" s="1"/>
  <c r="Q92" i="11"/>
  <c r="A78" i="6"/>
  <c r="S91" i="11"/>
  <c r="C78" i="6" s="1"/>
  <c r="AH74" i="11"/>
  <c r="AJ74" i="11" s="1"/>
  <c r="AI73" i="11"/>
  <c r="AK73" i="11"/>
  <c r="W86" i="11"/>
  <c r="E73" i="6" s="1"/>
  <c r="U87" i="11"/>
  <c r="G72" i="11"/>
  <c r="E60" i="4" s="1"/>
  <c r="A74" i="11"/>
  <c r="A61" i="4"/>
  <c r="C73" i="11"/>
  <c r="C61" i="4" s="1"/>
  <c r="E73" i="11"/>
  <c r="AL70" i="11" l="1"/>
  <c r="AM71" i="11" s="1"/>
  <c r="B57" i="3" s="1"/>
  <c r="Q93" i="11"/>
  <c r="A79" i="6"/>
  <c r="S92" i="11"/>
  <c r="C79" i="6" s="1"/>
  <c r="AH75" i="11"/>
  <c r="AJ75" i="11" s="1"/>
  <c r="AI74" i="11"/>
  <c r="AK74" i="11"/>
  <c r="W87" i="11"/>
  <c r="E74" i="6" s="1"/>
  <c r="U88" i="11"/>
  <c r="G73" i="11"/>
  <c r="E61" i="4" s="1"/>
  <c r="A75" i="11"/>
  <c r="A62" i="4"/>
  <c r="C74" i="11"/>
  <c r="C62" i="4" s="1"/>
  <c r="E74" i="11"/>
  <c r="AL71" i="11" l="1"/>
  <c r="AM72" i="11" s="1"/>
  <c r="AL72" i="11" s="1"/>
  <c r="AM73" i="11" s="1"/>
  <c r="Q94" i="11"/>
  <c r="A80" i="6"/>
  <c r="S93" i="11"/>
  <c r="C80" i="6" s="1"/>
  <c r="AH76" i="11"/>
  <c r="AJ76" i="11" s="1"/>
  <c r="AI75" i="11"/>
  <c r="AK75" i="11"/>
  <c r="W88" i="11"/>
  <c r="E75" i="6" s="1"/>
  <c r="U89" i="11"/>
  <c r="G74" i="11"/>
  <c r="E62" i="4" s="1"/>
  <c r="A76" i="11"/>
  <c r="C75" i="11"/>
  <c r="C63" i="4" s="1"/>
  <c r="A63" i="4"/>
  <c r="E75" i="11"/>
  <c r="B58" i="3" l="1"/>
  <c r="AL73" i="11"/>
  <c r="AM74" i="11" s="1"/>
  <c r="B59" i="3"/>
  <c r="Q95" i="11"/>
  <c r="A81" i="6"/>
  <c r="S94" i="11"/>
  <c r="C81" i="6" s="1"/>
  <c r="AH77" i="11"/>
  <c r="AJ77" i="11" s="1"/>
  <c r="AI76" i="11"/>
  <c r="AK76" i="11"/>
  <c r="W89" i="11"/>
  <c r="E76" i="6" s="1"/>
  <c r="U90" i="11"/>
  <c r="G75" i="11"/>
  <c r="E63" i="4" s="1"/>
  <c r="A77" i="11"/>
  <c r="A64" i="4"/>
  <c r="C76" i="11"/>
  <c r="C64" i="4" s="1"/>
  <c r="E76" i="11"/>
  <c r="AL74" i="11" l="1"/>
  <c r="AM75" i="11" s="1"/>
  <c r="B60" i="3"/>
  <c r="Q96" i="11"/>
  <c r="A82" i="6"/>
  <c r="S95" i="11"/>
  <c r="C82" i="6" s="1"/>
  <c r="AH78" i="11"/>
  <c r="AJ78" i="11" s="1"/>
  <c r="AI77" i="11"/>
  <c r="AK77" i="11"/>
  <c r="W90" i="11"/>
  <c r="E77" i="6" s="1"/>
  <c r="U91" i="11"/>
  <c r="G76" i="11"/>
  <c r="E64" i="4" s="1"/>
  <c r="A78" i="11"/>
  <c r="A65" i="4"/>
  <c r="C77" i="11"/>
  <c r="C65" i="4" s="1"/>
  <c r="E77" i="11"/>
  <c r="AL75" i="11" l="1"/>
  <c r="AM76" i="11" s="1"/>
  <c r="B61" i="3"/>
  <c r="Q97" i="11"/>
  <c r="A83" i="6"/>
  <c r="S96" i="11"/>
  <c r="C83" i="6" s="1"/>
  <c r="AH79" i="11"/>
  <c r="AJ79" i="11" s="1"/>
  <c r="AI78" i="11"/>
  <c r="AK78" i="11"/>
  <c r="W91" i="11"/>
  <c r="E78" i="6" s="1"/>
  <c r="U92" i="11"/>
  <c r="G77" i="11"/>
  <c r="E65" i="4" s="1"/>
  <c r="A79" i="11"/>
  <c r="A66" i="4"/>
  <c r="C78" i="11"/>
  <c r="C66" i="4" s="1"/>
  <c r="E78" i="11"/>
  <c r="AL76" i="11" l="1"/>
  <c r="AM77" i="11" s="1"/>
  <c r="B62" i="3"/>
  <c r="Q98" i="11"/>
  <c r="A84" i="6"/>
  <c r="S97" i="11"/>
  <c r="C84" i="6" s="1"/>
  <c r="AH80" i="11"/>
  <c r="AJ80" i="11" s="1"/>
  <c r="AI79" i="11"/>
  <c r="AK79" i="11"/>
  <c r="W92" i="11"/>
  <c r="E79" i="6" s="1"/>
  <c r="U93" i="11"/>
  <c r="G78" i="11"/>
  <c r="E66" i="4" s="1"/>
  <c r="G25" i="4" s="1"/>
  <c r="A80" i="11"/>
  <c r="C79" i="11"/>
  <c r="C67" i="4" s="1"/>
  <c r="A67" i="4"/>
  <c r="E79" i="11"/>
  <c r="AL77" i="11" l="1"/>
  <c r="AM78" i="11" s="1"/>
  <c r="B63" i="3"/>
  <c r="Q99" i="11"/>
  <c r="A85" i="6"/>
  <c r="S98" i="11"/>
  <c r="C85" i="6" s="1"/>
  <c r="AH81" i="11"/>
  <c r="AJ81" i="11" s="1"/>
  <c r="AI80" i="11"/>
  <c r="AK80" i="11"/>
  <c r="W93" i="11"/>
  <c r="E80" i="6" s="1"/>
  <c r="U94" i="11"/>
  <c r="G79" i="11"/>
  <c r="E67" i="4" s="1"/>
  <c r="A81" i="11"/>
  <c r="A68" i="4"/>
  <c r="C80" i="11"/>
  <c r="C68" i="4" s="1"/>
  <c r="E80" i="11"/>
  <c r="AL78" i="11" l="1"/>
  <c r="AM79" i="11" s="1"/>
  <c r="B64" i="3"/>
  <c r="Q100" i="11"/>
  <c r="A86" i="6"/>
  <c r="S99" i="11"/>
  <c r="C86" i="6" s="1"/>
  <c r="AH82" i="11"/>
  <c r="AJ82" i="11" s="1"/>
  <c r="AI81" i="11"/>
  <c r="AK81" i="11"/>
  <c r="W94" i="11"/>
  <c r="E81" i="6" s="1"/>
  <c r="U95" i="11"/>
  <c r="G80" i="11"/>
  <c r="E68" i="4" s="1"/>
  <c r="A82" i="11"/>
  <c r="C81" i="11"/>
  <c r="C69" i="4" s="1"/>
  <c r="A69" i="4"/>
  <c r="E81" i="11"/>
  <c r="AL79" i="11" l="1"/>
  <c r="AM80" i="11" s="1"/>
  <c r="B65" i="3"/>
  <c r="A87" i="6"/>
  <c r="S100" i="11"/>
  <c r="C87" i="6" s="1"/>
  <c r="AH83" i="11"/>
  <c r="AJ83" i="11" s="1"/>
  <c r="AI82" i="11"/>
  <c r="AK82" i="11"/>
  <c r="W95" i="11"/>
  <c r="E82" i="6" s="1"/>
  <c r="U96" i="11"/>
  <c r="A70" i="4"/>
  <c r="C82" i="11"/>
  <c r="C70" i="4" s="1"/>
  <c r="E82" i="11"/>
  <c r="G81" i="11"/>
  <c r="E69" i="4" s="1"/>
  <c r="AL80" i="11" l="1"/>
  <c r="AM81" i="11" s="1"/>
  <c r="B66" i="3"/>
  <c r="AH84" i="11"/>
  <c r="AJ84" i="11" s="1"/>
  <c r="AI83" i="11"/>
  <c r="AK83" i="11"/>
  <c r="W96" i="11"/>
  <c r="E83" i="6" s="1"/>
  <c r="U97" i="11"/>
  <c r="G82" i="11"/>
  <c r="E70" i="4" s="1"/>
  <c r="AL81" i="11" l="1"/>
  <c r="AM82" i="11" s="1"/>
  <c r="B67" i="3"/>
  <c r="AH85" i="11"/>
  <c r="AJ85" i="11" s="1"/>
  <c r="AI84" i="11"/>
  <c r="AK84" i="11"/>
  <c r="W97" i="11"/>
  <c r="E84" i="6" s="1"/>
  <c r="U98" i="11"/>
  <c r="AL82" i="11" l="1"/>
  <c r="AM83" i="11" s="1"/>
  <c r="B68" i="3"/>
  <c r="AH86" i="11"/>
  <c r="AJ86" i="11" s="1"/>
  <c r="AI85" i="11"/>
  <c r="AK85" i="11"/>
  <c r="W98" i="11"/>
  <c r="E85" i="6" s="1"/>
  <c r="U99" i="11"/>
  <c r="AL83" i="11" l="1"/>
  <c r="AM84" i="11" s="1"/>
  <c r="B69" i="3"/>
  <c r="AH87" i="11"/>
  <c r="AJ87" i="11" s="1"/>
  <c r="AI86" i="11"/>
  <c r="AK86" i="11"/>
  <c r="W99" i="11"/>
  <c r="E86" i="6" s="1"/>
  <c r="U100" i="11"/>
  <c r="AL84" i="11" l="1"/>
  <c r="AM85" i="11" s="1"/>
  <c r="B70" i="3"/>
  <c r="AH88" i="11"/>
  <c r="AJ88" i="11" s="1"/>
  <c r="AI87" i="11"/>
  <c r="AK87" i="11"/>
  <c r="W100" i="11"/>
  <c r="E87" i="6" s="1"/>
  <c r="G42" i="6" s="1"/>
  <c r="AL85" i="11" l="1"/>
  <c r="AM86" i="11" s="1"/>
  <c r="B71" i="3"/>
  <c r="AH89" i="11"/>
  <c r="AJ89" i="11" s="1"/>
  <c r="AI88" i="11"/>
  <c r="AK88" i="11"/>
  <c r="W56" i="11"/>
  <c r="AL86" i="11" l="1"/>
  <c r="AM87" i="11" s="1"/>
  <c r="B72" i="3"/>
  <c r="AH90" i="11"/>
  <c r="AJ90" i="11" s="1"/>
  <c r="AI89" i="11"/>
  <c r="AK89" i="11"/>
  <c r="AL87" i="11" l="1"/>
  <c r="AM88" i="11" s="1"/>
  <c r="B73" i="3"/>
  <c r="AH91" i="11"/>
  <c r="AJ91" i="11" s="1"/>
  <c r="AI90" i="11"/>
  <c r="AK90" i="11"/>
  <c r="AL88" i="11" l="1"/>
  <c r="AM89" i="11" s="1"/>
  <c r="B74" i="3"/>
  <c r="AH92" i="11"/>
  <c r="AJ92" i="11" s="1"/>
  <c r="AI91" i="11"/>
  <c r="AK91" i="11"/>
  <c r="AL89" i="11" l="1"/>
  <c r="AM90" i="11" s="1"/>
  <c r="B75" i="3"/>
  <c r="AH93" i="11"/>
  <c r="AJ93" i="11" s="1"/>
  <c r="AI92" i="11"/>
  <c r="AK92" i="11"/>
  <c r="AL90" i="11" l="1"/>
  <c r="AM91" i="11" s="1"/>
  <c r="B76" i="3"/>
  <c r="AH94" i="11"/>
  <c r="AJ94" i="11" s="1"/>
  <c r="AI93" i="11"/>
  <c r="AK93" i="11"/>
  <c r="AL91" i="11" l="1"/>
  <c r="AM92" i="11" s="1"/>
  <c r="B77" i="3"/>
  <c r="AH95" i="11"/>
  <c r="AJ95" i="11" s="1"/>
  <c r="AI94" i="11"/>
  <c r="AK94" i="11"/>
  <c r="AL92" i="11" l="1"/>
  <c r="AM93" i="11" s="1"/>
  <c r="B78" i="3"/>
  <c r="AH96" i="11"/>
  <c r="AJ96" i="11" s="1"/>
  <c r="AI95" i="11"/>
  <c r="AK95" i="11"/>
  <c r="AL93" i="11" l="1"/>
  <c r="AM94" i="11" s="1"/>
  <c r="B79" i="3"/>
  <c r="AH97" i="11"/>
  <c r="AJ97" i="11" s="1"/>
  <c r="AI96" i="11"/>
  <c r="AK96" i="11"/>
  <c r="AL94" i="11" l="1"/>
  <c r="AM95" i="11" s="1"/>
  <c r="B80" i="3"/>
  <c r="AH98" i="11"/>
  <c r="AJ98" i="11" s="1"/>
  <c r="AI97" i="11"/>
  <c r="AK97" i="11"/>
  <c r="AL95" i="11" l="1"/>
  <c r="AM96" i="11" s="1"/>
  <c r="B81" i="3"/>
  <c r="AH99" i="11"/>
  <c r="AJ99" i="11" s="1"/>
  <c r="AI98" i="11"/>
  <c r="AK98" i="11"/>
  <c r="AL96" i="11" l="1"/>
  <c r="AM97" i="11" s="1"/>
  <c r="B82" i="3"/>
  <c r="AH100" i="11"/>
  <c r="AJ100" i="11" s="1"/>
  <c r="AI99" i="11"/>
  <c r="AK99" i="11"/>
  <c r="AL97" i="11" l="1"/>
  <c r="AM98" i="11" s="1"/>
  <c r="B83" i="3"/>
  <c r="AH101" i="11"/>
  <c r="AJ101" i="11" s="1"/>
  <c r="AI100" i="11"/>
  <c r="AK100" i="11"/>
  <c r="AL98" i="11" l="1"/>
  <c r="AM99" i="11" s="1"/>
  <c r="B84" i="3"/>
  <c r="AH102" i="11"/>
  <c r="AJ102" i="11" s="1"/>
  <c r="AI101" i="11"/>
  <c r="AK101" i="11"/>
  <c r="AL99" i="11" l="1"/>
  <c r="AM100" i="11" s="1"/>
  <c r="B85" i="3"/>
  <c r="AH103" i="11"/>
  <c r="AJ103" i="11" s="1"/>
  <c r="AI102" i="11"/>
  <c r="AK102" i="11"/>
  <c r="AL100" i="11" l="1"/>
  <c r="AM101" i="11" s="1"/>
  <c r="B86" i="3"/>
  <c r="AH104" i="11"/>
  <c r="AJ104" i="11" s="1"/>
  <c r="AI103" i="11"/>
  <c r="AK103" i="11"/>
  <c r="AL101" i="11" l="1"/>
  <c r="AM102" i="11" s="1"/>
  <c r="B87" i="3"/>
  <c r="AH105" i="11"/>
  <c r="AJ105" i="11" s="1"/>
  <c r="AI104" i="11"/>
  <c r="AK104" i="11"/>
  <c r="AL102" i="11" l="1"/>
  <c r="AM103" i="11" s="1"/>
  <c r="B88" i="3"/>
  <c r="AH106" i="11"/>
  <c r="AJ106" i="11" s="1"/>
  <c r="AI105" i="11"/>
  <c r="AK105" i="11"/>
  <c r="AL103" i="11" l="1"/>
  <c r="AM104" i="11" s="1"/>
  <c r="B89" i="3"/>
  <c r="AH107" i="11"/>
  <c r="AJ107" i="11" s="1"/>
  <c r="AI106" i="11"/>
  <c r="AK106" i="11"/>
  <c r="AL104" i="11" l="1"/>
  <c r="AM105" i="11" s="1"/>
  <c r="B90" i="3"/>
  <c r="AH108" i="11"/>
  <c r="AJ108" i="11" s="1"/>
  <c r="AI107" i="11"/>
  <c r="AK107" i="11"/>
  <c r="AL105" i="11" l="1"/>
  <c r="AM106" i="11" s="1"/>
  <c r="B91" i="3"/>
  <c r="AH109" i="11"/>
  <c r="AJ109" i="11" s="1"/>
  <c r="AI108" i="11"/>
  <c r="AK108" i="11"/>
  <c r="AL106" i="11" l="1"/>
  <c r="AM107" i="11" s="1"/>
  <c r="B92" i="3"/>
  <c r="AH110" i="11"/>
  <c r="AJ110" i="11" s="1"/>
  <c r="AI109" i="11"/>
  <c r="AK109" i="11"/>
  <c r="AL107" i="11" l="1"/>
  <c r="AM108" i="11" s="1"/>
  <c r="B93" i="3"/>
  <c r="AH111" i="11"/>
  <c r="AJ111" i="11" s="1"/>
  <c r="AI110" i="11"/>
  <c r="AK110" i="11"/>
  <c r="AL108" i="11" l="1"/>
  <c r="AM109" i="11" s="1"/>
  <c r="B94" i="3"/>
  <c r="AH112" i="11"/>
  <c r="AJ112" i="11" s="1"/>
  <c r="AI111" i="11"/>
  <c r="AK111" i="11"/>
  <c r="AL109" i="11" l="1"/>
  <c r="AM110" i="11" s="1"/>
  <c r="B95" i="3"/>
  <c r="AH113" i="11"/>
  <c r="AJ113" i="11" s="1"/>
  <c r="AI112" i="11"/>
  <c r="AK112" i="11"/>
  <c r="AL110" i="11" l="1"/>
  <c r="AM111" i="11" s="1"/>
  <c r="B96" i="3"/>
  <c r="AH114" i="11"/>
  <c r="AJ114" i="11" s="1"/>
  <c r="AI113" i="11"/>
  <c r="AK113" i="11"/>
  <c r="AL111" i="11" l="1"/>
  <c r="AM112" i="11" s="1"/>
  <c r="B97" i="3"/>
  <c r="AH115" i="11"/>
  <c r="AJ115" i="11" s="1"/>
  <c r="AI114" i="11"/>
  <c r="AK114" i="11"/>
  <c r="AL112" i="11" l="1"/>
  <c r="AM113" i="11" s="1"/>
  <c r="B98" i="3"/>
  <c r="AH116" i="11"/>
  <c r="AJ116" i="11" s="1"/>
  <c r="AI115" i="11"/>
  <c r="AK115" i="11"/>
  <c r="AL113" i="11" l="1"/>
  <c r="AM114" i="11" s="1"/>
  <c r="B99" i="3"/>
  <c r="AH117" i="11"/>
  <c r="AJ117" i="11" s="1"/>
  <c r="AI116" i="11"/>
  <c r="AK116" i="11"/>
  <c r="AL114" i="11" l="1"/>
  <c r="AM115" i="11" s="1"/>
  <c r="B100" i="3"/>
  <c r="AH118" i="11"/>
  <c r="AJ118" i="11" s="1"/>
  <c r="AI117" i="11"/>
  <c r="AK117" i="11"/>
  <c r="AL115" i="11" l="1"/>
  <c r="AM116" i="11" s="1"/>
  <c r="B101" i="3"/>
  <c r="AH119" i="11"/>
  <c r="AJ119" i="11" s="1"/>
  <c r="AI118" i="11"/>
  <c r="AK118" i="11"/>
  <c r="AL116" i="11" l="1"/>
  <c r="AM117" i="11" s="1"/>
  <c r="B102" i="3"/>
  <c r="AH120" i="11"/>
  <c r="AJ120" i="11" s="1"/>
  <c r="AI119" i="11"/>
  <c r="AK119" i="11"/>
  <c r="AL117" i="11" l="1"/>
  <c r="AM118" i="11" s="1"/>
  <c r="B103" i="3"/>
  <c r="AH121" i="11"/>
  <c r="AJ121" i="11" s="1"/>
  <c r="AI120" i="11"/>
  <c r="AK120" i="11"/>
  <c r="AL118" i="11" l="1"/>
  <c r="AM119" i="11" s="1"/>
  <c r="B104" i="3"/>
  <c r="AH122" i="11"/>
  <c r="AJ122" i="11" s="1"/>
  <c r="AI121" i="11"/>
  <c r="AK121" i="11"/>
  <c r="AL119" i="11" l="1"/>
  <c r="AM120" i="11" s="1"/>
  <c r="B105" i="3"/>
  <c r="AH123" i="11"/>
  <c r="AJ123" i="11" s="1"/>
  <c r="AI122" i="11"/>
  <c r="AK122" i="11"/>
  <c r="AL120" i="11" l="1"/>
  <c r="AM121" i="11" s="1"/>
  <c r="B106" i="3"/>
  <c r="AH124" i="11"/>
  <c r="AJ124" i="11" s="1"/>
  <c r="AI123" i="11"/>
  <c r="AK123" i="11"/>
  <c r="AL121" i="11" l="1"/>
  <c r="AM122" i="11" s="1"/>
  <c r="B107" i="3"/>
  <c r="AH125" i="11"/>
  <c r="AJ125" i="11" s="1"/>
  <c r="AI124" i="11"/>
  <c r="AK124" i="11"/>
  <c r="AL122" i="11" l="1"/>
  <c r="AM123" i="11" s="1"/>
  <c r="B108" i="3"/>
  <c r="AH126" i="11"/>
  <c r="AJ126" i="11" s="1"/>
  <c r="AI125" i="11"/>
  <c r="AK125" i="11"/>
  <c r="AL123" i="11" l="1"/>
  <c r="AM124" i="11" s="1"/>
  <c r="B109" i="3"/>
  <c r="AH127" i="11"/>
  <c r="AJ127" i="11" s="1"/>
  <c r="AI126" i="11"/>
  <c r="AK126" i="11"/>
  <c r="AL124" i="11" l="1"/>
  <c r="AM125" i="11" s="1"/>
  <c r="B110" i="3"/>
  <c r="AH128" i="11"/>
  <c r="AJ128" i="11" s="1"/>
  <c r="AI127" i="11"/>
  <c r="AK127" i="11"/>
  <c r="AL125" i="11" l="1"/>
  <c r="AM126" i="11" s="1"/>
  <c r="B111" i="3"/>
  <c r="AH129" i="11"/>
  <c r="AJ129" i="11" s="1"/>
  <c r="AI128" i="11"/>
  <c r="AK128" i="11"/>
  <c r="AL126" i="11" l="1"/>
  <c r="AM127" i="11" s="1"/>
  <c r="B112" i="3"/>
  <c r="AH130" i="11"/>
  <c r="AJ130" i="11" s="1"/>
  <c r="AI129" i="11"/>
  <c r="AK129" i="11"/>
  <c r="AL127" i="11" l="1"/>
  <c r="AM128" i="11" s="1"/>
  <c r="B113" i="3"/>
  <c r="AH131" i="11"/>
  <c r="AJ131" i="11" s="1"/>
  <c r="AI130" i="11"/>
  <c r="AK130" i="11"/>
  <c r="AL128" i="11" l="1"/>
  <c r="AM129" i="11" s="1"/>
  <c r="B114" i="3"/>
  <c r="AH132" i="11"/>
  <c r="AJ132" i="11" s="1"/>
  <c r="AI131" i="11"/>
  <c r="AK131" i="11"/>
  <c r="AL129" i="11" l="1"/>
  <c r="AM130" i="11" s="1"/>
  <c r="B115" i="3"/>
  <c r="AH133" i="11"/>
  <c r="AJ133" i="11" s="1"/>
  <c r="AI132" i="11"/>
  <c r="AK132" i="11"/>
  <c r="AL130" i="11" l="1"/>
  <c r="AM131" i="11" s="1"/>
  <c r="B116" i="3"/>
  <c r="AH134" i="11"/>
  <c r="AJ134" i="11" s="1"/>
  <c r="AI133" i="11"/>
  <c r="AK133" i="11"/>
  <c r="AL131" i="11" l="1"/>
  <c r="AM132" i="11" s="1"/>
  <c r="B117" i="3"/>
  <c r="AH135" i="11"/>
  <c r="AJ135" i="11" s="1"/>
  <c r="AI134" i="11"/>
  <c r="AK134" i="11"/>
  <c r="AL132" i="11" l="1"/>
  <c r="AM133" i="11" s="1"/>
  <c r="B118" i="3"/>
  <c r="AH136" i="11"/>
  <c r="AJ136" i="11" s="1"/>
  <c r="AI135" i="11"/>
  <c r="AK135" i="11"/>
  <c r="AL133" i="11" l="1"/>
  <c r="AM134" i="11" s="1"/>
  <c r="B119" i="3"/>
  <c r="AH137" i="11"/>
  <c r="AJ137" i="11" s="1"/>
  <c r="AI136" i="11"/>
  <c r="AK136" i="11"/>
  <c r="AL134" i="11" l="1"/>
  <c r="AM135" i="11" s="1"/>
  <c r="B120" i="3"/>
  <c r="AH138" i="11"/>
  <c r="AJ138" i="11" s="1"/>
  <c r="AI137" i="11"/>
  <c r="AK137" i="11"/>
  <c r="AL135" i="11" l="1"/>
  <c r="AM136" i="11" s="1"/>
  <c r="B121" i="3"/>
  <c r="AH139" i="11"/>
  <c r="AJ139" i="11" s="1"/>
  <c r="AI138" i="11"/>
  <c r="AK138" i="11"/>
  <c r="AL136" i="11" l="1"/>
  <c r="AM137" i="11" s="1"/>
  <c r="B122" i="3"/>
  <c r="AH140" i="11"/>
  <c r="AJ140" i="11" s="1"/>
  <c r="AI139" i="11"/>
  <c r="AK139" i="11"/>
  <c r="AL137" i="11" l="1"/>
  <c r="AM138" i="11" s="1"/>
  <c r="B123" i="3"/>
  <c r="AH141" i="11"/>
  <c r="AJ141" i="11" s="1"/>
  <c r="AI140" i="11"/>
  <c r="AK140" i="11"/>
  <c r="AL138" i="11" l="1"/>
  <c r="AM139" i="11" s="1"/>
  <c r="B124" i="3"/>
  <c r="AH142" i="11"/>
  <c r="AJ142" i="11" s="1"/>
  <c r="AI141" i="11"/>
  <c r="AK141" i="11"/>
  <c r="AL139" i="11" l="1"/>
  <c r="AM140" i="11" s="1"/>
  <c r="B125" i="3"/>
  <c r="AI142" i="11"/>
  <c r="AK142" i="11"/>
  <c r="AL140" i="11" l="1"/>
  <c r="AM141" i="11" s="1"/>
  <c r="B126" i="3"/>
  <c r="AL141" i="11" l="1"/>
  <c r="AM142" i="11" s="1"/>
  <c r="B127" i="3"/>
  <c r="AL142" i="11" l="1"/>
  <c r="B128" i="3"/>
  <c r="F23" i="3" s="1"/>
  <c r="AL36" i="11"/>
  <c r="G38" i="11" l="1"/>
</calcChain>
</file>

<file path=xl/sharedStrings.xml><?xml version="1.0" encoding="utf-8"?>
<sst xmlns="http://schemas.openxmlformats.org/spreadsheetml/2006/main" count="626" uniqueCount="245">
  <si>
    <t>Information</t>
  </si>
  <si>
    <t>Disclaimer</t>
  </si>
  <si>
    <t>For details of model development see:</t>
  </si>
  <si>
    <t>This model is for illustrative purposes only.  To the extent permitted by law, the Commonwealth of Australia, the Murray-Darling Basin Authority (including its employees and consultants), and the authors of this model do not assume liability of any kind whatsoever resulting from any person's use or reliance upon the content of this model.  Before taking any action or decision based on the information in this publication, readers should seek expert professional, scientific and technical advice and form their own view of the applicability and correctness of the outputs of this model.</t>
  </si>
  <si>
    <t>m³/s</t>
  </si>
  <si>
    <t>m</t>
  </si>
  <si>
    <t>m/s</t>
  </si>
  <si>
    <t>ºC</t>
  </si>
  <si>
    <r>
      <t>D</t>
    </r>
    <r>
      <rPr>
        <vertAlign val="subscript"/>
        <sz val="10"/>
        <rFont val="Arial"/>
        <family val="2"/>
      </rPr>
      <t>0</t>
    </r>
    <r>
      <rPr>
        <sz val="11"/>
        <color theme="1"/>
        <rFont val="Calibri"/>
        <family val="2"/>
        <scheme val="minor"/>
      </rPr>
      <t xml:space="preserve"> =</t>
    </r>
  </si>
  <si>
    <t>Coefficient DOC decomposition at 20 ºC</t>
  </si>
  <si>
    <t>days</t>
  </si>
  <si>
    <t>Time</t>
  </si>
  <si>
    <t xml:space="preserve">Distance </t>
  </si>
  <si>
    <t>1/day</t>
  </si>
  <si>
    <t>DO saturation</t>
  </si>
  <si>
    <t>DO in river/dilution water</t>
  </si>
  <si>
    <t>Blackwater characteristics</t>
  </si>
  <si>
    <t>River/dilution water discharge/flow rate</t>
  </si>
  <si>
    <t>Blackwater discharge/flow rate</t>
  </si>
  <si>
    <t>DOC river/dilution water</t>
  </si>
  <si>
    <t>(x, km)</t>
  </si>
  <si>
    <t>(t, days)</t>
  </si>
  <si>
    <t>Flow velocity</t>
  </si>
  <si>
    <t xml:space="preserve">Time step for model </t>
  </si>
  <si>
    <t>H =</t>
  </si>
  <si>
    <t>Temperature of blackwater</t>
  </si>
  <si>
    <t>Temperature of river/dilution water</t>
  </si>
  <si>
    <t>Critical DO concentration (lowest value)</t>
  </si>
  <si>
    <t>DO min =</t>
  </si>
  <si>
    <t>mg/L</t>
  </si>
  <si>
    <t>n/a</t>
  </si>
  <si>
    <t>Change in DO over structure</t>
  </si>
  <si>
    <t>Water quality coefficient</t>
  </si>
  <si>
    <t>Flat broad-crested regular step</t>
  </si>
  <si>
    <t>Flat broad-crested irregular step</t>
  </si>
  <si>
    <t>Flat broad-crested vertical face</t>
  </si>
  <si>
    <t>Flat broad-crested straight-slope face</t>
  </si>
  <si>
    <t>Flat broad-crested curved face</t>
  </si>
  <si>
    <t>Round broad-crested curved face</t>
  </si>
  <si>
    <t>Sharp crested straight-slope face</t>
  </si>
  <si>
    <t>Sharp crested vertical face</t>
  </si>
  <si>
    <t>Sluice gates</t>
  </si>
  <si>
    <t>km/h</t>
  </si>
  <si>
    <t>DO deficit</t>
  </si>
  <si>
    <t>ML/day</t>
  </si>
  <si>
    <t>Dilution water characteristics</t>
  </si>
  <si>
    <t>Downstream channel characteristics</t>
  </si>
  <si>
    <t>U =</t>
  </si>
  <si>
    <t>Average Channel Depth</t>
  </si>
  <si>
    <t>Average Channel Width</t>
  </si>
  <si>
    <t>W =</t>
  </si>
  <si>
    <t>Notes:</t>
  </si>
  <si>
    <t>=</t>
  </si>
  <si>
    <t>Use of dilution flows for hypoxic blackwater mitigation</t>
  </si>
  <si>
    <r>
      <t>L</t>
    </r>
    <r>
      <rPr>
        <vertAlign val="subscript"/>
        <sz val="10"/>
        <rFont val="Arial"/>
        <family val="2"/>
      </rPr>
      <t>0</t>
    </r>
    <r>
      <rPr>
        <sz val="10"/>
        <rFont val="Arial"/>
        <family val="2"/>
      </rPr>
      <t xml:space="preserve"> =</t>
    </r>
  </si>
  <si>
    <r>
      <t>F</t>
    </r>
    <r>
      <rPr>
        <vertAlign val="subscript"/>
        <sz val="10"/>
        <color theme="1"/>
        <rFont val="Arial"/>
        <family val="2"/>
      </rPr>
      <t>bw</t>
    </r>
    <r>
      <rPr>
        <sz val="10"/>
        <color theme="1"/>
        <rFont val="Arial"/>
        <family val="2"/>
      </rPr>
      <t xml:space="preserve"> =</t>
    </r>
  </si>
  <si>
    <r>
      <t>DO</t>
    </r>
    <r>
      <rPr>
        <vertAlign val="subscript"/>
        <sz val="10"/>
        <color theme="1"/>
        <rFont val="Arial"/>
        <family val="2"/>
      </rPr>
      <t>bw</t>
    </r>
    <r>
      <rPr>
        <sz val="10"/>
        <color theme="1"/>
        <rFont val="Arial"/>
        <family val="2"/>
      </rPr>
      <t xml:space="preserve"> =</t>
    </r>
  </si>
  <si>
    <r>
      <t>DOC</t>
    </r>
    <r>
      <rPr>
        <vertAlign val="subscript"/>
        <sz val="10"/>
        <color theme="1"/>
        <rFont val="Arial"/>
        <family val="2"/>
      </rPr>
      <t>bw</t>
    </r>
    <r>
      <rPr>
        <sz val="10"/>
        <color theme="1"/>
        <rFont val="Arial"/>
        <family val="2"/>
      </rPr>
      <t xml:space="preserve"> =</t>
    </r>
  </si>
  <si>
    <r>
      <t>T</t>
    </r>
    <r>
      <rPr>
        <vertAlign val="subscript"/>
        <sz val="10"/>
        <color theme="1"/>
        <rFont val="Arial"/>
        <family val="2"/>
      </rPr>
      <t>bw</t>
    </r>
    <r>
      <rPr>
        <sz val="10"/>
        <color theme="1"/>
        <rFont val="Arial"/>
        <family val="2"/>
      </rPr>
      <t xml:space="preserve"> =</t>
    </r>
  </si>
  <si>
    <t>Dissolved oxygen (DO) in blackwater</t>
  </si>
  <si>
    <t>Dissolved organic carbon (DOC) in blackwater</t>
  </si>
  <si>
    <r>
      <t>F</t>
    </r>
    <r>
      <rPr>
        <vertAlign val="subscript"/>
        <sz val="10"/>
        <rFont val="Arial"/>
        <family val="2"/>
      </rPr>
      <t>dil</t>
    </r>
    <r>
      <rPr>
        <sz val="10"/>
        <rFont val="Arial"/>
        <family val="2"/>
      </rPr>
      <t xml:space="preserve"> =</t>
    </r>
  </si>
  <si>
    <r>
      <t>DO</t>
    </r>
    <r>
      <rPr>
        <vertAlign val="subscript"/>
        <sz val="10"/>
        <rFont val="Arial"/>
        <family val="2"/>
      </rPr>
      <t>dil</t>
    </r>
    <r>
      <rPr>
        <sz val="10"/>
        <rFont val="Arial"/>
        <family val="2"/>
      </rPr>
      <t xml:space="preserve"> </t>
    </r>
    <r>
      <rPr>
        <sz val="10"/>
        <color theme="1"/>
        <rFont val="Arial"/>
        <family val="2"/>
      </rPr>
      <t>=</t>
    </r>
  </si>
  <si>
    <r>
      <t>DOC</t>
    </r>
    <r>
      <rPr>
        <vertAlign val="subscript"/>
        <sz val="10"/>
        <rFont val="Arial"/>
        <family val="2"/>
      </rPr>
      <t>dil</t>
    </r>
    <r>
      <rPr>
        <sz val="10"/>
        <rFont val="Arial"/>
        <family val="2"/>
      </rPr>
      <t xml:space="preserve"> </t>
    </r>
    <r>
      <rPr>
        <sz val="10"/>
        <color theme="1"/>
        <rFont val="Arial"/>
        <family val="2"/>
      </rPr>
      <t>=</t>
    </r>
  </si>
  <si>
    <r>
      <t>T</t>
    </r>
    <r>
      <rPr>
        <vertAlign val="subscript"/>
        <sz val="10"/>
        <rFont val="Arial"/>
        <family val="2"/>
      </rPr>
      <t>dil</t>
    </r>
    <r>
      <rPr>
        <sz val="10"/>
        <rFont val="Arial"/>
        <family val="2"/>
      </rPr>
      <t xml:space="preserve"> =</t>
    </r>
  </si>
  <si>
    <r>
      <t>k</t>
    </r>
    <r>
      <rPr>
        <vertAlign val="subscript"/>
        <sz val="10"/>
        <rFont val="Arial"/>
        <family val="2"/>
      </rPr>
      <t>d,20</t>
    </r>
    <r>
      <rPr>
        <sz val="11"/>
        <color theme="1"/>
        <rFont val="Calibri"/>
        <family val="2"/>
        <scheme val="minor"/>
      </rPr>
      <t xml:space="preserve"> = </t>
    </r>
  </si>
  <si>
    <r>
      <t>k</t>
    </r>
    <r>
      <rPr>
        <vertAlign val="subscript"/>
        <sz val="10"/>
        <rFont val="Arial"/>
        <family val="2"/>
      </rPr>
      <t>a,20</t>
    </r>
    <r>
      <rPr>
        <sz val="11"/>
        <color theme="1"/>
        <rFont val="Calibri"/>
        <family val="2"/>
        <scheme val="minor"/>
      </rPr>
      <t xml:space="preserve"> = </t>
    </r>
  </si>
  <si>
    <t>Coefficient DOC decomposition at T ºC</t>
  </si>
  <si>
    <t>Coefficient of re-aeration at 20 ºC</t>
  </si>
  <si>
    <r>
      <t>k</t>
    </r>
    <r>
      <rPr>
        <vertAlign val="subscript"/>
        <sz val="10"/>
        <rFont val="Arial"/>
        <family val="2"/>
      </rPr>
      <t>d</t>
    </r>
    <r>
      <rPr>
        <sz val="11"/>
        <color theme="1"/>
        <rFont val="Calibri"/>
        <family val="2"/>
        <scheme val="minor"/>
      </rPr>
      <t xml:space="preserve"> = </t>
    </r>
  </si>
  <si>
    <r>
      <t>k</t>
    </r>
    <r>
      <rPr>
        <vertAlign val="subscript"/>
        <sz val="10"/>
        <rFont val="Arial"/>
        <family val="2"/>
      </rPr>
      <t>a</t>
    </r>
    <r>
      <rPr>
        <sz val="11"/>
        <color theme="1"/>
        <rFont val="Calibri"/>
        <family val="2"/>
        <scheme val="minor"/>
      </rPr>
      <t xml:space="preserve"> = </t>
    </r>
  </si>
  <si>
    <t>Coefficient of re-aeration at T ºC</t>
  </si>
  <si>
    <t>Initial DO concentration after mixing</t>
  </si>
  <si>
    <t>Initial oxygen deficit after mixing</t>
  </si>
  <si>
    <t>Initial DOC concentration after mixing</t>
  </si>
  <si>
    <t>Initial oxygen demand after mixing</t>
  </si>
  <si>
    <t>T =</t>
  </si>
  <si>
    <r>
      <t>T</t>
    </r>
    <r>
      <rPr>
        <sz val="10"/>
        <rFont val="Arial"/>
        <family val="2"/>
      </rPr>
      <t xml:space="preserve"> = (T</t>
    </r>
    <r>
      <rPr>
        <vertAlign val="subscript"/>
        <sz val="10"/>
        <rFont val="Arial"/>
        <family val="2"/>
      </rPr>
      <t>bw</t>
    </r>
    <r>
      <rPr>
        <sz val="10"/>
        <rFont val="Arial"/>
        <family val="2"/>
      </rPr>
      <t>.F</t>
    </r>
    <r>
      <rPr>
        <vertAlign val="subscript"/>
        <sz val="10"/>
        <rFont val="Arial"/>
        <family val="2"/>
      </rPr>
      <t>bw</t>
    </r>
    <r>
      <rPr>
        <sz val="10"/>
        <rFont val="Arial"/>
        <family val="2"/>
      </rPr>
      <t xml:space="preserve"> + T</t>
    </r>
    <r>
      <rPr>
        <vertAlign val="subscript"/>
        <sz val="10"/>
        <rFont val="Arial"/>
        <family val="2"/>
      </rPr>
      <t>dil</t>
    </r>
    <r>
      <rPr>
        <sz val="10"/>
        <rFont val="Arial"/>
        <family val="2"/>
      </rPr>
      <t>.F</t>
    </r>
    <r>
      <rPr>
        <vertAlign val="subscript"/>
        <sz val="10"/>
        <rFont val="Arial"/>
        <family val="2"/>
      </rPr>
      <t>dil</t>
    </r>
    <r>
      <rPr>
        <sz val="10"/>
        <rFont val="Arial"/>
        <family val="2"/>
      </rPr>
      <t>) / (F</t>
    </r>
    <r>
      <rPr>
        <vertAlign val="subscript"/>
        <sz val="10"/>
        <rFont val="Arial"/>
        <family val="2"/>
      </rPr>
      <t>bw</t>
    </r>
    <r>
      <rPr>
        <sz val="10"/>
        <rFont val="Arial"/>
        <family val="2"/>
      </rPr>
      <t xml:space="preserve"> + F</t>
    </r>
    <r>
      <rPr>
        <vertAlign val="subscript"/>
        <sz val="10"/>
        <rFont val="Arial"/>
        <family val="2"/>
      </rPr>
      <t>dil</t>
    </r>
    <r>
      <rPr>
        <sz val="10"/>
        <rFont val="Arial"/>
        <family val="2"/>
      </rPr>
      <t>)</t>
    </r>
  </si>
  <si>
    <r>
      <t>DOC</t>
    </r>
    <r>
      <rPr>
        <vertAlign val="subscript"/>
        <sz val="10"/>
        <rFont val="Arial"/>
        <family val="2"/>
      </rPr>
      <t xml:space="preserve">0 </t>
    </r>
    <r>
      <rPr>
        <sz val="11"/>
        <color theme="1"/>
        <rFont val="Calibri"/>
        <family val="2"/>
        <scheme val="minor"/>
      </rPr>
      <t>=</t>
    </r>
  </si>
  <si>
    <r>
      <t>DOC</t>
    </r>
    <r>
      <rPr>
        <vertAlign val="subscript"/>
        <sz val="10"/>
        <rFont val="Arial"/>
        <family val="2"/>
      </rPr>
      <t>0</t>
    </r>
    <r>
      <rPr>
        <sz val="10"/>
        <rFont val="Arial"/>
        <family val="2"/>
      </rPr>
      <t xml:space="preserve"> = (DOC</t>
    </r>
    <r>
      <rPr>
        <vertAlign val="subscript"/>
        <sz val="10"/>
        <rFont val="Arial"/>
        <family val="2"/>
      </rPr>
      <t>bw</t>
    </r>
    <r>
      <rPr>
        <sz val="10"/>
        <rFont val="Arial"/>
        <family val="2"/>
      </rPr>
      <t>.F</t>
    </r>
    <r>
      <rPr>
        <vertAlign val="subscript"/>
        <sz val="10"/>
        <rFont val="Arial"/>
        <family val="2"/>
      </rPr>
      <t>bw</t>
    </r>
    <r>
      <rPr>
        <sz val="10"/>
        <rFont val="Arial"/>
        <family val="2"/>
      </rPr>
      <t xml:space="preserve"> + DOC</t>
    </r>
    <r>
      <rPr>
        <vertAlign val="subscript"/>
        <sz val="10"/>
        <rFont val="Arial"/>
        <family val="2"/>
      </rPr>
      <t>dil</t>
    </r>
    <r>
      <rPr>
        <sz val="10"/>
        <rFont val="Arial"/>
        <family val="2"/>
      </rPr>
      <t>.F</t>
    </r>
    <r>
      <rPr>
        <vertAlign val="subscript"/>
        <sz val="10"/>
        <rFont val="Arial"/>
        <family val="2"/>
      </rPr>
      <t>dil</t>
    </r>
    <r>
      <rPr>
        <sz val="10"/>
        <rFont val="Arial"/>
        <family val="2"/>
      </rPr>
      <t>) / (F</t>
    </r>
    <r>
      <rPr>
        <vertAlign val="subscript"/>
        <sz val="10"/>
        <rFont val="Arial"/>
        <family val="2"/>
      </rPr>
      <t>bw</t>
    </r>
    <r>
      <rPr>
        <sz val="10"/>
        <rFont val="Arial"/>
        <family val="2"/>
      </rPr>
      <t xml:space="preserve"> + F</t>
    </r>
    <r>
      <rPr>
        <vertAlign val="subscript"/>
        <sz val="10"/>
        <rFont val="Arial"/>
        <family val="2"/>
      </rPr>
      <t>dil</t>
    </r>
    <r>
      <rPr>
        <sz val="10"/>
        <rFont val="Arial"/>
        <family val="2"/>
      </rPr>
      <t>)</t>
    </r>
  </si>
  <si>
    <r>
      <t>DO</t>
    </r>
    <r>
      <rPr>
        <vertAlign val="subscript"/>
        <sz val="10"/>
        <rFont val="Arial"/>
        <family val="2"/>
      </rPr>
      <t>ds</t>
    </r>
    <r>
      <rPr>
        <sz val="10"/>
        <rFont val="Arial"/>
        <family val="2"/>
      </rPr>
      <t xml:space="preserve"> (t,x=0) </t>
    </r>
    <r>
      <rPr>
        <sz val="11"/>
        <color theme="1"/>
        <rFont val="Calibri"/>
        <family val="2"/>
        <scheme val="minor"/>
      </rPr>
      <t>=</t>
    </r>
  </si>
  <si>
    <r>
      <t>DO</t>
    </r>
    <r>
      <rPr>
        <vertAlign val="subscript"/>
        <sz val="10"/>
        <rFont val="Arial"/>
        <family val="2"/>
      </rPr>
      <t>s</t>
    </r>
    <r>
      <rPr>
        <sz val="10"/>
        <rFont val="Arial"/>
        <family val="2"/>
      </rPr>
      <t xml:space="preserve"> = 14.652 - (0.41022T) + (0.007991T</t>
    </r>
    <r>
      <rPr>
        <vertAlign val="superscript"/>
        <sz val="10"/>
        <rFont val="Arial"/>
        <family val="2"/>
      </rPr>
      <t>2</t>
    </r>
    <r>
      <rPr>
        <sz val="10"/>
        <rFont val="Arial"/>
        <family val="2"/>
      </rPr>
      <t>) - (7.7774E</t>
    </r>
    <r>
      <rPr>
        <vertAlign val="superscript"/>
        <sz val="10"/>
        <rFont val="Arial"/>
        <family val="2"/>
      </rPr>
      <t>-5</t>
    </r>
    <r>
      <rPr>
        <sz val="10"/>
        <rFont val="Arial"/>
        <family val="2"/>
      </rPr>
      <t xml:space="preserve"> T</t>
    </r>
    <r>
      <rPr>
        <vertAlign val="superscript"/>
        <sz val="10"/>
        <rFont val="Arial"/>
        <family val="2"/>
      </rPr>
      <t>3</t>
    </r>
    <r>
      <rPr>
        <sz val="10"/>
        <rFont val="Arial"/>
        <family val="2"/>
      </rPr>
      <t>)  ; Cox 2003</t>
    </r>
  </si>
  <si>
    <r>
      <t>L</t>
    </r>
    <r>
      <rPr>
        <vertAlign val="subscript"/>
        <sz val="10"/>
        <rFont val="Arial"/>
        <family val="2"/>
      </rPr>
      <t>0</t>
    </r>
    <r>
      <rPr>
        <sz val="10"/>
        <rFont val="Arial"/>
        <family val="2"/>
      </rPr>
      <t xml:space="preserve"> = 2.664.DOC</t>
    </r>
    <r>
      <rPr>
        <vertAlign val="subscript"/>
        <sz val="10"/>
        <rFont val="Arial"/>
        <family val="2"/>
      </rPr>
      <t>0</t>
    </r>
    <r>
      <rPr>
        <sz val="10"/>
        <rFont val="Arial"/>
        <family val="2"/>
      </rPr>
      <t xml:space="preserve">  ; Aerobic oxidation of 1 mg C consumes 2.664 mg O</t>
    </r>
  </si>
  <si>
    <t>Note: For a constant river cross section, x = Ut</t>
  </si>
  <si>
    <t>Enter data in yellow cells. Model outputs are in the green cells and the two charts.</t>
  </si>
  <si>
    <t>Additional parameters/rate constants in equation</t>
  </si>
  <si>
    <t>(D, mg/L)</t>
  </si>
  <si>
    <t>Deficit</t>
  </si>
  <si>
    <r>
      <t>(DO</t>
    </r>
    <r>
      <rPr>
        <b/>
        <vertAlign val="subscript"/>
        <sz val="10"/>
        <color indexed="9"/>
        <rFont val="Arial"/>
        <family val="2"/>
      </rPr>
      <t>ds</t>
    </r>
    <r>
      <rPr>
        <b/>
        <sz val="10"/>
        <color indexed="9"/>
        <rFont val="Arial"/>
        <family val="2"/>
      </rPr>
      <t>, mg/L)</t>
    </r>
  </si>
  <si>
    <t>Downstream DO</t>
  </si>
  <si>
    <t>Temperature after mixing</t>
  </si>
  <si>
    <r>
      <t>DO</t>
    </r>
    <r>
      <rPr>
        <vertAlign val="subscript"/>
        <sz val="10"/>
        <rFont val="Arial"/>
        <family val="2"/>
      </rPr>
      <t>s</t>
    </r>
    <r>
      <rPr>
        <sz val="10"/>
        <rFont val="Arial"/>
        <family val="2"/>
      </rPr>
      <t xml:space="preserve"> </t>
    </r>
    <r>
      <rPr>
        <sz val="11"/>
        <color theme="1"/>
        <rFont val="Calibri"/>
        <family val="2"/>
        <scheme val="minor"/>
      </rPr>
      <t>=</t>
    </r>
  </si>
  <si>
    <t>Feel free to distribute.  Use at your own risk.</t>
  </si>
  <si>
    <t>For further information contact:</t>
  </si>
  <si>
    <t>Use of engineering structures for re-aeration of hypoxic blackwater</t>
  </si>
  <si>
    <t>Structure characteristics</t>
  </si>
  <si>
    <t>a =</t>
  </si>
  <si>
    <t>b =</t>
  </si>
  <si>
    <t>Outputs upon initial mixing (time (t) and distance (x) = 0)</t>
  </si>
  <si>
    <r>
      <t>DO</t>
    </r>
    <r>
      <rPr>
        <vertAlign val="subscript"/>
        <sz val="10"/>
        <rFont val="Arial"/>
        <family val="2"/>
      </rPr>
      <t>s</t>
    </r>
    <r>
      <rPr>
        <sz val="10"/>
        <color theme="1"/>
        <rFont val="Arial"/>
        <family val="2"/>
      </rPr>
      <t xml:space="preserve"> =</t>
    </r>
  </si>
  <si>
    <r>
      <t>F</t>
    </r>
    <r>
      <rPr>
        <sz val="10"/>
        <color theme="1"/>
        <rFont val="Arial"/>
        <family val="2"/>
      </rPr>
      <t xml:space="preserve"> =</t>
    </r>
  </si>
  <si>
    <r>
      <t>DO</t>
    </r>
    <r>
      <rPr>
        <vertAlign val="subscript"/>
        <sz val="10"/>
        <color theme="1"/>
        <rFont val="Arial"/>
        <family val="2"/>
      </rPr>
      <t>a</t>
    </r>
    <r>
      <rPr>
        <sz val="10"/>
        <color theme="1"/>
        <rFont val="Arial"/>
        <family val="2"/>
      </rPr>
      <t xml:space="preserve"> =</t>
    </r>
  </si>
  <si>
    <t>DOC =</t>
  </si>
  <si>
    <r>
      <t>T</t>
    </r>
    <r>
      <rPr>
        <sz val="10"/>
        <color theme="1"/>
        <rFont val="Arial"/>
        <family val="2"/>
      </rPr>
      <t xml:space="preserve"> =</t>
    </r>
  </si>
  <si>
    <t>Temperature</t>
  </si>
  <si>
    <t>Discharge/flow rate</t>
  </si>
  <si>
    <t>Dissolved oxygen (DO) above structure</t>
  </si>
  <si>
    <t>Dissolved organic carbon (DOC)</t>
  </si>
  <si>
    <t>Ratio of deficit above and below structure</t>
  </si>
  <si>
    <t>DO below structure</t>
  </si>
  <si>
    <r>
      <t>D</t>
    </r>
    <r>
      <rPr>
        <vertAlign val="subscript"/>
        <sz val="10"/>
        <color theme="1"/>
        <rFont val="Arial"/>
        <family val="2"/>
      </rPr>
      <t>b</t>
    </r>
    <r>
      <rPr>
        <sz val="10"/>
        <color theme="1"/>
        <rFont val="Arial"/>
        <family val="2"/>
      </rPr>
      <t xml:space="preserve"> =</t>
    </r>
  </si>
  <si>
    <r>
      <t>DO</t>
    </r>
    <r>
      <rPr>
        <vertAlign val="subscript"/>
        <sz val="10"/>
        <color theme="1"/>
        <rFont val="Arial"/>
        <family val="2"/>
      </rPr>
      <t>b</t>
    </r>
    <r>
      <rPr>
        <sz val="10"/>
        <color theme="1"/>
        <rFont val="Arial"/>
        <family val="2"/>
      </rPr>
      <t xml:space="preserve"> = </t>
    </r>
  </si>
  <si>
    <t xml:space="preserve">r = </t>
  </si>
  <si>
    <r>
      <t>DO</t>
    </r>
    <r>
      <rPr>
        <vertAlign val="subscript"/>
        <sz val="10"/>
        <color theme="1"/>
        <rFont val="Arial"/>
        <family val="2"/>
      </rPr>
      <t>(b - a)</t>
    </r>
    <r>
      <rPr>
        <sz val="10"/>
        <color theme="1"/>
        <rFont val="Arial"/>
        <family val="2"/>
      </rPr>
      <t xml:space="preserve"> =</t>
    </r>
  </si>
  <si>
    <t>Z =</t>
  </si>
  <si>
    <r>
      <t>U = (F</t>
    </r>
    <r>
      <rPr>
        <vertAlign val="subscript"/>
        <sz val="10"/>
        <rFont val="Arial"/>
        <family val="2"/>
      </rPr>
      <t>bw</t>
    </r>
    <r>
      <rPr>
        <sz val="10"/>
        <rFont val="Arial"/>
        <family val="2"/>
      </rPr>
      <t xml:space="preserve"> + F</t>
    </r>
    <r>
      <rPr>
        <vertAlign val="subscript"/>
        <sz val="10"/>
        <rFont val="Arial"/>
        <family val="2"/>
      </rPr>
      <t>dil</t>
    </r>
    <r>
      <rPr>
        <sz val="10"/>
        <rFont val="Arial"/>
        <family val="2"/>
      </rPr>
      <t>) / (H.W)</t>
    </r>
  </si>
  <si>
    <r>
      <t>U = F</t>
    </r>
    <r>
      <rPr>
        <sz val="10"/>
        <rFont val="Arial"/>
        <family val="2"/>
      </rPr>
      <t xml:space="preserve"> / (H.W)</t>
    </r>
  </si>
  <si>
    <t>Outputs immediately after fall over structure (time (t) and distance (x) = 0)</t>
  </si>
  <si>
    <t>DO deficit below structure</t>
  </si>
  <si>
    <t>DO deficit above structure</t>
  </si>
  <si>
    <r>
      <t>D</t>
    </r>
    <r>
      <rPr>
        <vertAlign val="subscript"/>
        <sz val="10"/>
        <rFont val="Arial"/>
        <family val="2"/>
      </rPr>
      <t>a</t>
    </r>
    <r>
      <rPr>
        <sz val="10"/>
        <rFont val="Arial"/>
        <family val="2"/>
      </rPr>
      <t xml:space="preserve"> = </t>
    </r>
  </si>
  <si>
    <r>
      <t>D</t>
    </r>
    <r>
      <rPr>
        <vertAlign val="subscript"/>
        <sz val="10"/>
        <rFont val="Arial"/>
        <family val="2"/>
      </rPr>
      <t>a</t>
    </r>
    <r>
      <rPr>
        <sz val="10"/>
        <rFont val="Arial"/>
        <family val="2"/>
      </rPr>
      <t xml:space="preserve"> = DO</t>
    </r>
    <r>
      <rPr>
        <vertAlign val="subscript"/>
        <sz val="10"/>
        <rFont val="Arial"/>
        <family val="2"/>
      </rPr>
      <t>s</t>
    </r>
    <r>
      <rPr>
        <sz val="10"/>
        <rFont val="Arial"/>
        <family val="2"/>
      </rPr>
      <t xml:space="preserve"> - DO</t>
    </r>
    <r>
      <rPr>
        <vertAlign val="subscript"/>
        <sz val="10"/>
        <rFont val="Arial"/>
        <family val="2"/>
      </rPr>
      <t>a</t>
    </r>
  </si>
  <si>
    <r>
      <t>DO</t>
    </r>
    <r>
      <rPr>
        <vertAlign val="subscript"/>
        <sz val="10"/>
        <color theme="1"/>
        <rFont val="Arial"/>
        <family val="2"/>
      </rPr>
      <t>(b - a)</t>
    </r>
    <r>
      <rPr>
        <sz val="10"/>
        <color theme="1"/>
        <rFont val="Arial"/>
        <family val="2"/>
      </rPr>
      <t xml:space="preserve"> = DO</t>
    </r>
    <r>
      <rPr>
        <vertAlign val="subscript"/>
        <sz val="10"/>
        <color theme="1"/>
        <rFont val="Arial"/>
        <family val="2"/>
      </rPr>
      <t>b</t>
    </r>
    <r>
      <rPr>
        <sz val="10"/>
        <color theme="1"/>
        <rFont val="Arial"/>
        <family val="2"/>
      </rPr>
      <t xml:space="preserve"> - DO</t>
    </r>
    <r>
      <rPr>
        <vertAlign val="subscript"/>
        <sz val="10"/>
        <color theme="1"/>
        <rFont val="Arial"/>
        <family val="2"/>
      </rPr>
      <t>a</t>
    </r>
  </si>
  <si>
    <t>Empirical co-efficients for equation (select appropriate values for a,b)</t>
  </si>
  <si>
    <t>Water quality co-efficient (polluted state), a</t>
  </si>
  <si>
    <t>Oxygen demand</t>
  </si>
  <si>
    <r>
      <t>L</t>
    </r>
    <r>
      <rPr>
        <vertAlign val="subscript"/>
        <sz val="10"/>
        <color theme="1"/>
        <rFont val="Arial"/>
        <family val="2"/>
      </rPr>
      <t>0</t>
    </r>
    <r>
      <rPr>
        <sz val="10"/>
        <color theme="1"/>
        <rFont val="Arial"/>
        <family val="2"/>
      </rPr>
      <t xml:space="preserve"> = </t>
    </r>
  </si>
  <si>
    <r>
      <t>L</t>
    </r>
    <r>
      <rPr>
        <vertAlign val="subscript"/>
        <sz val="10"/>
        <rFont val="Arial"/>
        <family val="2"/>
      </rPr>
      <t>0</t>
    </r>
    <r>
      <rPr>
        <sz val="10"/>
        <rFont val="Arial"/>
        <family val="2"/>
      </rPr>
      <t xml:space="preserve"> = 2.664.DOC</t>
    </r>
    <r>
      <rPr>
        <sz val="10"/>
        <rFont val="Arial"/>
        <family val="2"/>
      </rPr>
      <t xml:space="preserve">  ; Aerobic oxidation of 1 mg C consumes 2.664 mg O</t>
    </r>
  </si>
  <si>
    <r>
      <t>DO</t>
    </r>
    <r>
      <rPr>
        <vertAlign val="subscript"/>
        <sz val="10"/>
        <color theme="1"/>
        <rFont val="Arial"/>
        <family val="2"/>
      </rPr>
      <t>b</t>
    </r>
    <r>
      <rPr>
        <sz val="10"/>
        <color theme="1"/>
        <rFont val="Arial"/>
        <family val="2"/>
      </rPr>
      <t xml:space="preserve"> = DO</t>
    </r>
    <r>
      <rPr>
        <vertAlign val="subscript"/>
        <sz val="10"/>
        <color theme="1"/>
        <rFont val="Arial"/>
        <family val="2"/>
      </rPr>
      <t>s</t>
    </r>
    <r>
      <rPr>
        <sz val="10"/>
        <color theme="1"/>
        <rFont val="Arial"/>
        <family val="2"/>
      </rPr>
      <t xml:space="preserve"> - D</t>
    </r>
    <r>
      <rPr>
        <vertAlign val="subscript"/>
        <sz val="10"/>
        <color theme="1"/>
        <rFont val="Arial"/>
        <family val="2"/>
      </rPr>
      <t>b</t>
    </r>
  </si>
  <si>
    <r>
      <t>D</t>
    </r>
    <r>
      <rPr>
        <vertAlign val="subscript"/>
        <sz val="10"/>
        <rFont val="Arial"/>
        <family val="2"/>
      </rPr>
      <t>b</t>
    </r>
    <r>
      <rPr>
        <sz val="10"/>
        <rFont val="Arial"/>
        <family val="2"/>
      </rPr>
      <t xml:space="preserve"> = D</t>
    </r>
    <r>
      <rPr>
        <vertAlign val="subscript"/>
        <sz val="10"/>
        <rFont val="Arial"/>
        <family val="2"/>
      </rPr>
      <t>a</t>
    </r>
    <r>
      <rPr>
        <sz val="10"/>
        <rFont val="Arial"/>
        <family val="2"/>
      </rPr>
      <t xml:space="preserve"> / r</t>
    </r>
  </si>
  <si>
    <t>Obtained from Butts and Evans 1983</t>
  </si>
  <si>
    <t>Downstream output summary</t>
  </si>
  <si>
    <t>DO immediately after mixing</t>
  </si>
  <si>
    <t>DO immediately after fall over structure</t>
  </si>
  <si>
    <r>
      <t>DO</t>
    </r>
    <r>
      <rPr>
        <vertAlign val="subscript"/>
        <sz val="10"/>
        <rFont val="Arial"/>
        <family val="2"/>
      </rPr>
      <t>b</t>
    </r>
    <r>
      <rPr>
        <sz val="10"/>
        <rFont val="Arial"/>
        <family val="2"/>
      </rPr>
      <t xml:space="preserve"> </t>
    </r>
    <r>
      <rPr>
        <sz val="11"/>
        <color theme="1"/>
        <rFont val="Calibri"/>
        <family val="2"/>
        <scheme val="minor"/>
      </rPr>
      <t>=</t>
    </r>
  </si>
  <si>
    <t>Change in water elevation over structure</t>
  </si>
  <si>
    <t>Structure type coefficient</t>
  </si>
  <si>
    <t>Structure type, b</t>
  </si>
  <si>
    <t>Wind-driven re-aeration of hypoxic blackwater in lakes and wetlands</t>
  </si>
  <si>
    <t>Input data into yellow cells. Model outputs are in the green cells and the two charts.</t>
  </si>
  <si>
    <t>Lake or wetland characteristics</t>
  </si>
  <si>
    <t>Lake volume</t>
  </si>
  <si>
    <t>m³</t>
  </si>
  <si>
    <t>V =</t>
  </si>
  <si>
    <t>Dissolved oxygen (DO) in lake water</t>
  </si>
  <si>
    <r>
      <t>DO</t>
    </r>
    <r>
      <rPr>
        <vertAlign val="subscript"/>
        <sz val="10"/>
        <color theme="1"/>
        <rFont val="Arial"/>
        <family val="2"/>
      </rPr>
      <t>L</t>
    </r>
    <r>
      <rPr>
        <sz val="10"/>
        <color theme="1"/>
        <rFont val="Arial"/>
        <family val="2"/>
      </rPr>
      <t xml:space="preserve"> =</t>
    </r>
  </si>
  <si>
    <t>Dissolved organic carbon (DOC) in lake water</t>
  </si>
  <si>
    <r>
      <t>DOC</t>
    </r>
    <r>
      <rPr>
        <vertAlign val="subscript"/>
        <sz val="10"/>
        <color theme="1"/>
        <rFont val="Arial"/>
        <family val="2"/>
      </rPr>
      <t>L</t>
    </r>
    <r>
      <rPr>
        <sz val="10"/>
        <color theme="1"/>
        <rFont val="Arial"/>
        <family val="2"/>
      </rPr>
      <t xml:space="preserve"> =</t>
    </r>
  </si>
  <si>
    <t>Temperature of lake water</t>
  </si>
  <si>
    <t>Average lake depth</t>
  </si>
  <si>
    <t>DO after mixing</t>
  </si>
  <si>
    <r>
      <t>T</t>
    </r>
    <r>
      <rPr>
        <vertAlign val="subscript"/>
        <sz val="10"/>
        <color theme="1"/>
        <rFont val="Arial"/>
        <family val="2"/>
      </rPr>
      <t>L</t>
    </r>
    <r>
      <rPr>
        <sz val="10"/>
        <color theme="1"/>
        <rFont val="Arial"/>
        <family val="2"/>
      </rPr>
      <t xml:space="preserve"> =</t>
    </r>
  </si>
  <si>
    <t>DOC after mixing</t>
  </si>
  <si>
    <t>Mean daily wind speed</t>
  </si>
  <si>
    <r>
      <t>m</t>
    </r>
    <r>
      <rPr>
        <sz val="10"/>
        <color theme="1"/>
        <rFont val="Arial"/>
        <family val="2"/>
      </rPr>
      <t>/s</t>
    </r>
  </si>
  <si>
    <t xml:space="preserve">s = </t>
  </si>
  <si>
    <t>Outputs upon initial mixing (time (t) = 0)</t>
  </si>
  <si>
    <r>
      <t>L</t>
    </r>
    <r>
      <rPr>
        <vertAlign val="subscript"/>
        <sz val="11"/>
        <color theme="1"/>
        <rFont val="Calibri"/>
        <family val="2"/>
        <scheme val="minor"/>
      </rPr>
      <t>t</t>
    </r>
    <r>
      <rPr>
        <sz val="11"/>
        <color theme="1"/>
        <rFont val="Calibri"/>
        <family val="2"/>
        <scheme val="minor"/>
      </rPr>
      <t xml:space="preserve"> = (L</t>
    </r>
    <r>
      <rPr>
        <vertAlign val="subscript"/>
        <sz val="11"/>
        <color theme="1"/>
        <rFont val="Calibri"/>
        <family val="2"/>
        <scheme val="minor"/>
      </rPr>
      <t>(t-s)</t>
    </r>
    <r>
      <rPr>
        <sz val="11"/>
        <color theme="1"/>
        <rFont val="Calibri"/>
        <family val="2"/>
        <scheme val="minor"/>
      </rPr>
      <t>e</t>
    </r>
    <r>
      <rPr>
        <vertAlign val="superscript"/>
        <sz val="11"/>
        <color theme="1"/>
        <rFont val="Calibri"/>
        <family val="2"/>
        <scheme val="minor"/>
      </rPr>
      <t>-kd.s</t>
    </r>
    <r>
      <rPr>
        <sz val="11"/>
        <color theme="1"/>
        <rFont val="Calibri"/>
        <family val="2"/>
        <scheme val="minor"/>
      </rPr>
      <t>.(V - 86400.F</t>
    </r>
    <r>
      <rPr>
        <vertAlign val="subscript"/>
        <sz val="11"/>
        <color theme="1"/>
        <rFont val="Calibri"/>
        <family val="2"/>
        <scheme val="minor"/>
      </rPr>
      <t>bw</t>
    </r>
    <r>
      <rPr>
        <sz val="11"/>
        <color theme="1"/>
        <rFont val="Calibri"/>
        <family val="2"/>
        <scheme val="minor"/>
      </rPr>
      <t>.s) + 2.664.DOC</t>
    </r>
    <r>
      <rPr>
        <vertAlign val="subscript"/>
        <sz val="11"/>
        <color theme="1"/>
        <rFont val="Calibri"/>
        <family val="2"/>
        <scheme val="minor"/>
      </rPr>
      <t>bw</t>
    </r>
    <r>
      <rPr>
        <sz val="11"/>
        <color theme="1"/>
        <rFont val="Calibri"/>
        <family val="2"/>
        <scheme val="minor"/>
      </rPr>
      <t>.86400.F</t>
    </r>
    <r>
      <rPr>
        <vertAlign val="subscript"/>
        <sz val="11"/>
        <color theme="1"/>
        <rFont val="Calibri"/>
        <family val="2"/>
        <scheme val="minor"/>
      </rPr>
      <t>bw</t>
    </r>
    <r>
      <rPr>
        <sz val="11"/>
        <color theme="1"/>
        <rFont val="Calibri"/>
        <family val="2"/>
        <scheme val="minor"/>
      </rPr>
      <t>.s) / V</t>
    </r>
  </si>
  <si>
    <t>Lake DO</t>
  </si>
  <si>
    <t>Lake oxygen demand</t>
  </si>
  <si>
    <r>
      <t>(D</t>
    </r>
    <r>
      <rPr>
        <b/>
        <vertAlign val="subscript"/>
        <sz val="10"/>
        <color indexed="9"/>
        <rFont val="Arial"/>
        <family val="2"/>
      </rPr>
      <t>t</t>
    </r>
    <r>
      <rPr>
        <b/>
        <sz val="10"/>
        <color indexed="9"/>
        <rFont val="Arial"/>
        <family val="2"/>
      </rPr>
      <t>, mg/L)</t>
    </r>
  </si>
  <si>
    <r>
      <t>(DO</t>
    </r>
    <r>
      <rPr>
        <b/>
        <vertAlign val="subscript"/>
        <sz val="10"/>
        <color indexed="9"/>
        <rFont val="Arial"/>
        <family val="2"/>
      </rPr>
      <t>t</t>
    </r>
    <r>
      <rPr>
        <b/>
        <sz val="10"/>
        <color indexed="9"/>
        <rFont val="Arial"/>
        <family val="2"/>
      </rPr>
      <t>, mg/L)</t>
    </r>
  </si>
  <si>
    <r>
      <t>T = (T</t>
    </r>
    <r>
      <rPr>
        <vertAlign val="subscript"/>
        <sz val="10"/>
        <color theme="1"/>
        <rFont val="Arial"/>
        <family val="2"/>
      </rPr>
      <t>L</t>
    </r>
    <r>
      <rPr>
        <sz val="10"/>
        <color theme="1"/>
        <rFont val="Arial"/>
        <family val="2"/>
      </rPr>
      <t>.(V - 86400.F</t>
    </r>
    <r>
      <rPr>
        <vertAlign val="subscript"/>
        <sz val="10"/>
        <color theme="1"/>
        <rFont val="Arial"/>
        <family val="2"/>
      </rPr>
      <t>bw</t>
    </r>
    <r>
      <rPr>
        <sz val="10"/>
        <color theme="1"/>
        <rFont val="Arial"/>
        <family val="2"/>
      </rPr>
      <t>.s) + T</t>
    </r>
    <r>
      <rPr>
        <vertAlign val="subscript"/>
        <sz val="10"/>
        <color theme="1"/>
        <rFont val="Arial"/>
        <family val="2"/>
      </rPr>
      <t>bw</t>
    </r>
    <r>
      <rPr>
        <sz val="10"/>
        <color theme="1"/>
        <rFont val="Arial"/>
        <family val="2"/>
      </rPr>
      <t>.86400.F</t>
    </r>
    <r>
      <rPr>
        <vertAlign val="subscript"/>
        <sz val="10"/>
        <color theme="1"/>
        <rFont val="Arial"/>
        <family val="2"/>
      </rPr>
      <t>bw</t>
    </r>
    <r>
      <rPr>
        <sz val="10"/>
        <color theme="1"/>
        <rFont val="Arial"/>
        <family val="2"/>
      </rPr>
      <t>.s) / V</t>
    </r>
  </si>
  <si>
    <r>
      <t>DO</t>
    </r>
    <r>
      <rPr>
        <vertAlign val="subscript"/>
        <sz val="10"/>
        <rFont val="Arial"/>
        <family val="2"/>
      </rPr>
      <t>s</t>
    </r>
    <r>
      <rPr>
        <sz val="10"/>
        <rFont val="Arial"/>
        <family val="2"/>
      </rPr>
      <t xml:space="preserve"> = 14.652 - (0.41022.T) + (0.007991.T</t>
    </r>
    <r>
      <rPr>
        <vertAlign val="superscript"/>
        <sz val="10"/>
        <rFont val="Arial"/>
        <family val="2"/>
      </rPr>
      <t>2</t>
    </r>
    <r>
      <rPr>
        <sz val="10"/>
        <rFont val="Arial"/>
        <family val="2"/>
      </rPr>
      <t>) - (7.7774.10</t>
    </r>
    <r>
      <rPr>
        <vertAlign val="superscript"/>
        <sz val="10"/>
        <rFont val="Arial"/>
        <family val="2"/>
      </rPr>
      <t>-5</t>
    </r>
    <r>
      <rPr>
        <sz val="10"/>
        <rFont val="Arial"/>
        <family val="2"/>
      </rPr>
      <t>.T</t>
    </r>
    <r>
      <rPr>
        <vertAlign val="superscript"/>
        <sz val="10"/>
        <rFont val="Arial"/>
        <family val="2"/>
      </rPr>
      <t>3</t>
    </r>
    <r>
      <rPr>
        <sz val="10"/>
        <rFont val="Arial"/>
        <family val="2"/>
      </rPr>
      <t>)  ; Cox 2003</t>
    </r>
  </si>
  <si>
    <r>
      <t>D</t>
    </r>
    <r>
      <rPr>
        <vertAlign val="subscript"/>
        <sz val="10"/>
        <rFont val="Arial"/>
        <family val="2"/>
      </rPr>
      <t>0</t>
    </r>
    <r>
      <rPr>
        <sz val="10"/>
        <rFont val="Arial"/>
        <family val="2"/>
      </rPr>
      <t xml:space="preserve"> = </t>
    </r>
  </si>
  <si>
    <r>
      <t>DO</t>
    </r>
    <r>
      <rPr>
        <vertAlign val="subscript"/>
        <sz val="10"/>
        <color theme="1"/>
        <rFont val="Arial"/>
        <family val="2"/>
      </rPr>
      <t>0</t>
    </r>
    <r>
      <rPr>
        <sz val="10"/>
        <color theme="1"/>
        <rFont val="Arial"/>
        <family val="2"/>
      </rPr>
      <t xml:space="preserve"> = </t>
    </r>
  </si>
  <si>
    <r>
      <t>DOC</t>
    </r>
    <r>
      <rPr>
        <vertAlign val="subscript"/>
        <sz val="10"/>
        <color theme="1"/>
        <rFont val="Arial"/>
        <family val="2"/>
      </rPr>
      <t>0</t>
    </r>
    <r>
      <rPr>
        <sz val="10"/>
        <color theme="1"/>
        <rFont val="Arial"/>
        <family val="2"/>
      </rPr>
      <t xml:space="preserve"> = </t>
    </r>
  </si>
  <si>
    <r>
      <t>DOC</t>
    </r>
    <r>
      <rPr>
        <vertAlign val="subscript"/>
        <sz val="10"/>
        <color theme="1"/>
        <rFont val="Arial"/>
        <family val="2"/>
      </rPr>
      <t>0</t>
    </r>
    <r>
      <rPr>
        <sz val="10"/>
        <color theme="1"/>
        <rFont val="Arial"/>
        <family val="2"/>
      </rPr>
      <t xml:space="preserve"> = (DOC</t>
    </r>
    <r>
      <rPr>
        <vertAlign val="subscript"/>
        <sz val="10"/>
        <color theme="1"/>
        <rFont val="Arial"/>
        <family val="2"/>
      </rPr>
      <t>L</t>
    </r>
    <r>
      <rPr>
        <sz val="10"/>
        <color theme="1"/>
        <rFont val="Arial"/>
        <family val="2"/>
      </rPr>
      <t>.(V - 86400.F</t>
    </r>
    <r>
      <rPr>
        <vertAlign val="subscript"/>
        <sz val="10"/>
        <color theme="1"/>
        <rFont val="Arial"/>
        <family val="2"/>
      </rPr>
      <t>bw</t>
    </r>
    <r>
      <rPr>
        <sz val="10"/>
        <color theme="1"/>
        <rFont val="Arial"/>
        <family val="2"/>
      </rPr>
      <t>.s) + DOC</t>
    </r>
    <r>
      <rPr>
        <vertAlign val="subscript"/>
        <sz val="10"/>
        <color theme="1"/>
        <rFont val="Arial"/>
        <family val="2"/>
      </rPr>
      <t>bw</t>
    </r>
    <r>
      <rPr>
        <sz val="10"/>
        <color theme="1"/>
        <rFont val="Arial"/>
        <family val="2"/>
      </rPr>
      <t>.86400.F</t>
    </r>
    <r>
      <rPr>
        <vertAlign val="subscript"/>
        <sz val="10"/>
        <color theme="1"/>
        <rFont val="Arial"/>
        <family val="2"/>
      </rPr>
      <t>bw</t>
    </r>
    <r>
      <rPr>
        <sz val="10"/>
        <color theme="1"/>
        <rFont val="Arial"/>
        <family val="2"/>
      </rPr>
      <t>.s) / V</t>
    </r>
  </si>
  <si>
    <r>
      <t>DO</t>
    </r>
    <r>
      <rPr>
        <vertAlign val="subscript"/>
        <sz val="10"/>
        <color theme="1"/>
        <rFont val="Arial"/>
        <family val="2"/>
      </rPr>
      <t>0</t>
    </r>
    <r>
      <rPr>
        <sz val="10"/>
        <color theme="1"/>
        <rFont val="Arial"/>
        <family val="2"/>
      </rPr>
      <t xml:space="preserve"> = (DO</t>
    </r>
    <r>
      <rPr>
        <vertAlign val="subscript"/>
        <sz val="10"/>
        <color theme="1"/>
        <rFont val="Arial"/>
        <family val="2"/>
      </rPr>
      <t>L</t>
    </r>
    <r>
      <rPr>
        <sz val="10"/>
        <color theme="1"/>
        <rFont val="Arial"/>
        <family val="2"/>
      </rPr>
      <t>.(V - 86400.F</t>
    </r>
    <r>
      <rPr>
        <vertAlign val="subscript"/>
        <sz val="10"/>
        <color theme="1"/>
        <rFont val="Arial"/>
        <family val="2"/>
      </rPr>
      <t>bw</t>
    </r>
    <r>
      <rPr>
        <sz val="10"/>
        <color theme="1"/>
        <rFont val="Arial"/>
        <family val="2"/>
      </rPr>
      <t>.s) + DO</t>
    </r>
    <r>
      <rPr>
        <vertAlign val="subscript"/>
        <sz val="10"/>
        <color theme="1"/>
        <rFont val="Arial"/>
        <family val="2"/>
      </rPr>
      <t>bw</t>
    </r>
    <r>
      <rPr>
        <sz val="10"/>
        <color theme="1"/>
        <rFont val="Arial"/>
        <family val="2"/>
      </rPr>
      <t>.86400.F</t>
    </r>
    <r>
      <rPr>
        <vertAlign val="subscript"/>
        <sz val="10"/>
        <color theme="1"/>
        <rFont val="Arial"/>
        <family val="2"/>
      </rPr>
      <t>bw</t>
    </r>
    <r>
      <rPr>
        <sz val="10"/>
        <color theme="1"/>
        <rFont val="Arial"/>
        <family val="2"/>
      </rPr>
      <t>.s) / V</t>
    </r>
  </si>
  <si>
    <r>
      <t>D</t>
    </r>
    <r>
      <rPr>
        <vertAlign val="subscript"/>
        <sz val="10"/>
        <rFont val="Arial"/>
        <family val="2"/>
      </rPr>
      <t>0</t>
    </r>
    <r>
      <rPr>
        <sz val="10"/>
        <rFont val="Arial"/>
        <family val="2"/>
      </rPr>
      <t xml:space="preserve"> = DO</t>
    </r>
    <r>
      <rPr>
        <vertAlign val="subscript"/>
        <sz val="10"/>
        <rFont val="Arial"/>
        <family val="2"/>
      </rPr>
      <t>s</t>
    </r>
    <r>
      <rPr>
        <sz val="10"/>
        <rFont val="Arial"/>
        <family val="2"/>
      </rPr>
      <t xml:space="preserve"> - DO</t>
    </r>
    <r>
      <rPr>
        <vertAlign val="subscript"/>
        <sz val="10"/>
        <rFont val="Arial"/>
        <family val="2"/>
      </rPr>
      <t>0</t>
    </r>
  </si>
  <si>
    <t>s =</t>
  </si>
  <si>
    <t>Duration of hypoxic inflows</t>
  </si>
  <si>
    <t xml:space="preserve">Y = </t>
  </si>
  <si>
    <t>Recommend s = 1</t>
  </si>
  <si>
    <t>Lake oxygen deficit</t>
  </si>
  <si>
    <r>
      <t>(L</t>
    </r>
    <r>
      <rPr>
        <b/>
        <vertAlign val="subscript"/>
        <sz val="10"/>
        <color indexed="9"/>
        <rFont val="Arial"/>
        <family val="2"/>
      </rPr>
      <t>t</t>
    </r>
    <r>
      <rPr>
        <b/>
        <sz val="10"/>
        <color indexed="9"/>
        <rFont val="Arial"/>
        <family val="2"/>
      </rPr>
      <t>, mg/L)</t>
    </r>
  </si>
  <si>
    <t>Diversion of hypoxic blackwater flows to large, shallow lake or wetland systems allows both dilution and wind-driven re-aeration of the blackwater. This model calculates DO in a lake or wetland receiving inflows of hypoxic blackwater. The model takes a discrete time step approach, assuming batch addition of blackwater and discharge of an equivalent volume of fully mixed water from the lake at each time step. It is assumed that all DOC in both blackwater and dilution water is of the same reactivity and that temperature remains constant for the duration of the modelled period. Evaporation is not considered. The duration of hypoxic inflows can be specified so that post-event recovery can be modelled. It is assumed that no water enters or is discharged from the lake after inflows cease.</t>
  </si>
  <si>
    <r>
      <t>DO</t>
    </r>
    <r>
      <rPr>
        <vertAlign val="subscript"/>
        <sz val="10"/>
        <rFont val="Arial"/>
        <family val="2"/>
      </rPr>
      <t>ds,0</t>
    </r>
    <r>
      <rPr>
        <sz val="10"/>
        <rFont val="Arial"/>
        <family val="2"/>
      </rPr>
      <t xml:space="preserve"> </t>
    </r>
    <r>
      <rPr>
        <sz val="11"/>
        <color theme="1"/>
        <rFont val="Calibri"/>
        <family val="2"/>
        <scheme val="minor"/>
      </rPr>
      <t>=</t>
    </r>
  </si>
  <si>
    <r>
      <t>DO</t>
    </r>
    <r>
      <rPr>
        <vertAlign val="subscript"/>
        <sz val="10"/>
        <rFont val="Arial"/>
        <family val="2"/>
      </rPr>
      <t>ds,0</t>
    </r>
    <r>
      <rPr>
        <sz val="10"/>
        <rFont val="Arial"/>
        <family val="2"/>
      </rPr>
      <t xml:space="preserve"> = (DO</t>
    </r>
    <r>
      <rPr>
        <vertAlign val="subscript"/>
        <sz val="10"/>
        <rFont val="Arial"/>
        <family val="2"/>
      </rPr>
      <t>bw</t>
    </r>
    <r>
      <rPr>
        <sz val="10"/>
        <rFont val="Arial"/>
        <family val="2"/>
      </rPr>
      <t>.F</t>
    </r>
    <r>
      <rPr>
        <vertAlign val="subscript"/>
        <sz val="10"/>
        <rFont val="Arial"/>
        <family val="2"/>
      </rPr>
      <t>bw</t>
    </r>
    <r>
      <rPr>
        <sz val="10"/>
        <rFont val="Arial"/>
        <family val="2"/>
      </rPr>
      <t xml:space="preserve"> + DO</t>
    </r>
    <r>
      <rPr>
        <vertAlign val="subscript"/>
        <sz val="10"/>
        <rFont val="Arial"/>
        <family val="2"/>
      </rPr>
      <t>dil</t>
    </r>
    <r>
      <rPr>
        <sz val="10"/>
        <rFont val="Arial"/>
        <family val="2"/>
      </rPr>
      <t>.F</t>
    </r>
    <r>
      <rPr>
        <vertAlign val="subscript"/>
        <sz val="10"/>
        <rFont val="Arial"/>
        <family val="2"/>
      </rPr>
      <t>dil</t>
    </r>
    <r>
      <rPr>
        <sz val="10"/>
        <rFont val="Arial"/>
        <family val="2"/>
      </rPr>
      <t>) / (F</t>
    </r>
    <r>
      <rPr>
        <vertAlign val="subscript"/>
        <sz val="10"/>
        <rFont val="Arial"/>
        <family val="2"/>
      </rPr>
      <t>bw</t>
    </r>
    <r>
      <rPr>
        <sz val="10"/>
        <rFont val="Arial"/>
        <family val="2"/>
      </rPr>
      <t xml:space="preserve"> + F</t>
    </r>
    <r>
      <rPr>
        <vertAlign val="subscript"/>
        <sz val="10"/>
        <rFont val="Arial"/>
        <family val="2"/>
      </rPr>
      <t>dil</t>
    </r>
    <r>
      <rPr>
        <sz val="10"/>
        <rFont val="Arial"/>
        <family val="2"/>
      </rPr>
      <t>)</t>
    </r>
  </si>
  <si>
    <r>
      <t>D</t>
    </r>
    <r>
      <rPr>
        <vertAlign val="subscript"/>
        <sz val="10"/>
        <rFont val="Arial"/>
        <family val="2"/>
      </rPr>
      <t>0</t>
    </r>
    <r>
      <rPr>
        <sz val="10"/>
        <rFont val="Arial"/>
        <family val="2"/>
      </rPr>
      <t xml:space="preserve"> = DO</t>
    </r>
    <r>
      <rPr>
        <vertAlign val="subscript"/>
        <sz val="10"/>
        <rFont val="Arial"/>
        <family val="2"/>
      </rPr>
      <t>s</t>
    </r>
    <r>
      <rPr>
        <sz val="10"/>
        <rFont val="Arial"/>
        <family val="2"/>
      </rPr>
      <t xml:space="preserve"> - DO</t>
    </r>
    <r>
      <rPr>
        <vertAlign val="subscript"/>
        <sz val="10"/>
        <rFont val="Arial"/>
        <family val="2"/>
      </rPr>
      <t>ds,0</t>
    </r>
  </si>
  <si>
    <t>Chapra SC (1997) Surface water-quality modeling. McGraw-Hill: New York</t>
  </si>
  <si>
    <t>Streeter HW, Phelps EB (1925) A study of the pollution and natural purification of the Ohio River. III Factors concerned in the phenomena of oxidation and reaeration. US Public Health Service Public Health Bulletin No. 146. Washington DC</t>
  </si>
  <si>
    <t>Butts TA, Evans RL (1983) Small stream channel dam aeration characteristics. Journal for Environmental Engineering 109(3):555–573</t>
  </si>
  <si>
    <t>Cox BA (2003) A review of dissolved oxygen modelling techniques for lowland rivers. The Science of the Total Environment 314–316:303–334</t>
  </si>
  <si>
    <t>References:</t>
  </si>
  <si>
    <t>Whitworth KL, Baldwin DS, Kerr JL (2012) Drought, floods and water quality: Drivers of a severe hypoxic blackwater event in a major river system (the southern Murray-Darling Basin, Australia). Journal of Hydrology 450–451:190–198. doi:10.1016/j.jhydrol.2012.04.057</t>
  </si>
  <si>
    <t>(Streeter and Phelps 1925)</t>
  </si>
  <si>
    <r>
      <t>DO</t>
    </r>
    <r>
      <rPr>
        <vertAlign val="subscript"/>
        <sz val="10"/>
        <rFont val="Arial"/>
        <family val="2"/>
      </rPr>
      <t>s</t>
    </r>
    <r>
      <rPr>
        <sz val="10"/>
        <rFont val="Arial"/>
        <family val="2"/>
      </rPr>
      <t xml:space="preserve"> = 14.652 - (0.41022T) + (0.007991T</t>
    </r>
    <r>
      <rPr>
        <vertAlign val="superscript"/>
        <sz val="10"/>
        <rFont val="Arial"/>
        <family val="2"/>
      </rPr>
      <t>2</t>
    </r>
    <r>
      <rPr>
        <sz val="10"/>
        <rFont val="Arial"/>
        <family val="2"/>
      </rPr>
      <t>) - (7.7774E</t>
    </r>
    <r>
      <rPr>
        <vertAlign val="superscript"/>
        <sz val="10"/>
        <rFont val="Arial"/>
        <family val="2"/>
      </rPr>
      <t>-5</t>
    </r>
    <r>
      <rPr>
        <sz val="10"/>
        <rFont val="Arial"/>
        <family val="2"/>
      </rPr>
      <t xml:space="preserve"> T</t>
    </r>
    <r>
      <rPr>
        <vertAlign val="superscript"/>
        <sz val="10"/>
        <rFont val="Arial"/>
        <family val="2"/>
      </rPr>
      <t>3</t>
    </r>
    <r>
      <rPr>
        <sz val="10"/>
        <rFont val="Arial"/>
        <family val="2"/>
      </rPr>
      <t>) ; Cox 2003</t>
    </r>
  </si>
  <si>
    <r>
      <t>k</t>
    </r>
    <r>
      <rPr>
        <vertAlign val="subscript"/>
        <sz val="10"/>
        <rFont val="Arial"/>
        <family val="2"/>
      </rPr>
      <t>a,20</t>
    </r>
    <r>
      <rPr>
        <sz val="10"/>
        <rFont val="Arial"/>
        <family val="2"/>
      </rPr>
      <t xml:space="preserve"> = 3.93.U</t>
    </r>
    <r>
      <rPr>
        <vertAlign val="superscript"/>
        <sz val="10"/>
        <rFont val="Arial"/>
        <family val="2"/>
      </rPr>
      <t>0.5</t>
    </r>
    <r>
      <rPr>
        <sz val="10"/>
        <rFont val="Arial"/>
        <family val="2"/>
      </rPr>
      <t xml:space="preserve"> / H</t>
    </r>
    <r>
      <rPr>
        <vertAlign val="superscript"/>
        <sz val="10"/>
        <rFont val="Arial"/>
        <family val="2"/>
      </rPr>
      <t>1.5</t>
    </r>
    <r>
      <rPr>
        <sz val="10"/>
        <rFont val="Arial"/>
        <family val="2"/>
      </rPr>
      <t xml:space="preserve"> ; O'Connor-Dobbins Equation:</t>
    </r>
    <r>
      <rPr>
        <sz val="10"/>
        <color rgb="FFC00000"/>
        <rFont val="Arial"/>
        <family val="2"/>
      </rPr>
      <t xml:space="preserve"> </t>
    </r>
    <r>
      <rPr>
        <sz val="10"/>
        <rFont val="Arial"/>
        <family val="2"/>
      </rPr>
      <t>Chapra 1997</t>
    </r>
  </si>
  <si>
    <r>
      <t>k</t>
    </r>
    <r>
      <rPr>
        <vertAlign val="subscript"/>
        <sz val="10"/>
        <rFont val="Arial"/>
        <family val="2"/>
      </rPr>
      <t>a</t>
    </r>
    <r>
      <rPr>
        <sz val="10"/>
        <rFont val="Arial"/>
        <family val="2"/>
      </rPr>
      <t xml:space="preserve"> = k</t>
    </r>
    <r>
      <rPr>
        <vertAlign val="subscript"/>
        <sz val="10"/>
        <rFont val="Arial"/>
        <family val="2"/>
      </rPr>
      <t>a,20</t>
    </r>
    <r>
      <rPr>
        <sz val="10"/>
        <rFont val="Arial"/>
        <family val="2"/>
      </rPr>
      <t>.θ</t>
    </r>
    <r>
      <rPr>
        <vertAlign val="superscript"/>
        <sz val="10"/>
        <rFont val="Arial"/>
        <family val="2"/>
      </rPr>
      <t>(T - 20)</t>
    </r>
    <r>
      <rPr>
        <sz val="10"/>
        <rFont val="Arial"/>
        <family val="2"/>
      </rPr>
      <t xml:space="preserve"> ;  θ = 1.024: Chapra 1997</t>
    </r>
  </si>
  <si>
    <r>
      <t>k</t>
    </r>
    <r>
      <rPr>
        <vertAlign val="subscript"/>
        <sz val="10"/>
        <rFont val="Arial"/>
        <family val="2"/>
      </rPr>
      <t>a,20</t>
    </r>
    <r>
      <rPr>
        <sz val="10"/>
        <rFont val="Arial"/>
        <family val="2"/>
      </rPr>
      <t xml:space="preserve"> = 3.93.U</t>
    </r>
    <r>
      <rPr>
        <vertAlign val="superscript"/>
        <sz val="10"/>
        <rFont val="Arial"/>
        <family val="2"/>
      </rPr>
      <t>0.5</t>
    </r>
    <r>
      <rPr>
        <sz val="10"/>
        <rFont val="Arial"/>
        <family val="2"/>
      </rPr>
      <t xml:space="preserve"> / H</t>
    </r>
    <r>
      <rPr>
        <vertAlign val="superscript"/>
        <sz val="10"/>
        <rFont val="Arial"/>
        <family val="2"/>
      </rPr>
      <t>1.5</t>
    </r>
    <r>
      <rPr>
        <sz val="10"/>
        <rFont val="Arial"/>
        <family val="2"/>
      </rPr>
      <t xml:space="preserve"> ; O'Connor-Dobbins Equation: Chapra 1997</t>
    </r>
  </si>
  <si>
    <r>
      <t>r = (DO</t>
    </r>
    <r>
      <rPr>
        <vertAlign val="subscript"/>
        <sz val="10"/>
        <color theme="1"/>
        <rFont val="Arial"/>
        <family val="2"/>
      </rPr>
      <t>s</t>
    </r>
    <r>
      <rPr>
        <sz val="10"/>
        <color theme="1"/>
        <rFont val="Arial"/>
        <family val="2"/>
      </rPr>
      <t xml:space="preserve"> - DO</t>
    </r>
    <r>
      <rPr>
        <vertAlign val="subscript"/>
        <sz val="10"/>
        <color theme="1"/>
        <rFont val="Arial"/>
        <family val="2"/>
      </rPr>
      <t>a</t>
    </r>
    <r>
      <rPr>
        <sz val="10"/>
        <color theme="1"/>
        <rFont val="Arial"/>
        <family val="2"/>
      </rPr>
      <t>) / (DO</t>
    </r>
    <r>
      <rPr>
        <vertAlign val="subscript"/>
        <sz val="10"/>
        <color theme="1"/>
        <rFont val="Arial"/>
        <family val="2"/>
      </rPr>
      <t>s</t>
    </r>
    <r>
      <rPr>
        <sz val="10"/>
        <color theme="1"/>
        <rFont val="Arial"/>
        <family val="2"/>
      </rPr>
      <t xml:space="preserve"> - DO</t>
    </r>
    <r>
      <rPr>
        <vertAlign val="subscript"/>
        <sz val="10"/>
        <color theme="1"/>
        <rFont val="Arial"/>
        <family val="2"/>
      </rPr>
      <t>b</t>
    </r>
    <r>
      <rPr>
        <sz val="10"/>
        <color theme="1"/>
        <rFont val="Arial"/>
        <family val="2"/>
      </rPr>
      <t>) = 1 + 0.38.a.b.Z.(1 - 0.11.Z).(1 + 0.046T) ; Butts and Evans 1983</t>
    </r>
  </si>
  <si>
    <r>
      <t>U</t>
    </r>
    <r>
      <rPr>
        <vertAlign val="subscript"/>
        <sz val="10"/>
        <color theme="1"/>
        <rFont val="Arial"/>
        <family val="2"/>
      </rPr>
      <t>w</t>
    </r>
    <r>
      <rPr>
        <sz val="10"/>
        <color theme="1"/>
        <rFont val="Arial"/>
        <family val="2"/>
      </rPr>
      <t xml:space="preserve"> =</t>
    </r>
  </si>
  <si>
    <r>
      <t>k</t>
    </r>
    <r>
      <rPr>
        <vertAlign val="subscript"/>
        <sz val="10"/>
        <rFont val="Arial"/>
        <family val="2"/>
      </rPr>
      <t>a,20</t>
    </r>
    <r>
      <rPr>
        <sz val="10"/>
        <rFont val="Arial"/>
        <family val="2"/>
      </rPr>
      <t xml:space="preserve"> = 0.0986.U</t>
    </r>
    <r>
      <rPr>
        <vertAlign val="subscript"/>
        <sz val="10"/>
        <rFont val="Arial"/>
        <family val="2"/>
      </rPr>
      <t>w</t>
    </r>
    <r>
      <rPr>
        <vertAlign val="superscript"/>
        <sz val="10"/>
        <rFont val="Arial"/>
        <family val="2"/>
      </rPr>
      <t>1.64</t>
    </r>
    <r>
      <rPr>
        <sz val="10"/>
        <rFont val="Arial"/>
        <family val="2"/>
      </rPr>
      <t xml:space="preserve"> / H ; Wanninkhof Equation: Chapra 1997; Gelda et al. 1996</t>
    </r>
  </si>
  <si>
    <t>Lake temp.</t>
  </si>
  <si>
    <t>(°C)</t>
  </si>
  <si>
    <r>
      <t>(DO</t>
    </r>
    <r>
      <rPr>
        <b/>
        <vertAlign val="subscript"/>
        <sz val="10"/>
        <color indexed="9"/>
        <rFont val="Arial"/>
        <family val="2"/>
      </rPr>
      <t>s</t>
    </r>
    <r>
      <rPr>
        <b/>
        <sz val="10"/>
        <color indexed="9"/>
        <rFont val="Arial"/>
        <family val="2"/>
      </rPr>
      <t>, mg/L)</t>
    </r>
  </si>
  <si>
    <r>
      <t>(k</t>
    </r>
    <r>
      <rPr>
        <b/>
        <vertAlign val="subscript"/>
        <sz val="10"/>
        <color indexed="9"/>
        <rFont val="Arial"/>
        <family val="2"/>
      </rPr>
      <t>a</t>
    </r>
    <r>
      <rPr>
        <b/>
        <sz val="10"/>
        <color indexed="9"/>
        <rFont val="Arial"/>
        <family val="2"/>
      </rPr>
      <t>, day</t>
    </r>
    <r>
      <rPr>
        <b/>
        <vertAlign val="superscript"/>
        <sz val="10"/>
        <color indexed="9"/>
        <rFont val="Arial"/>
        <family val="2"/>
      </rPr>
      <t>-1</t>
    </r>
    <r>
      <rPr>
        <b/>
        <sz val="10"/>
        <color indexed="9"/>
        <rFont val="Arial"/>
        <family val="2"/>
      </rPr>
      <t>)</t>
    </r>
  </si>
  <si>
    <r>
      <t>(k</t>
    </r>
    <r>
      <rPr>
        <b/>
        <vertAlign val="subscript"/>
        <sz val="10"/>
        <color indexed="9"/>
        <rFont val="Arial"/>
        <family val="2"/>
      </rPr>
      <t>d</t>
    </r>
    <r>
      <rPr>
        <b/>
        <sz val="10"/>
        <color indexed="9"/>
        <rFont val="Arial"/>
        <family val="2"/>
      </rPr>
      <t>, day</t>
    </r>
    <r>
      <rPr>
        <b/>
        <vertAlign val="superscript"/>
        <sz val="10"/>
        <color indexed="9"/>
        <rFont val="Arial"/>
        <family val="2"/>
      </rPr>
      <t>-1</t>
    </r>
    <r>
      <rPr>
        <b/>
        <sz val="10"/>
        <color indexed="9"/>
        <rFont val="Arial"/>
        <family val="2"/>
      </rPr>
      <t>)</t>
    </r>
  </si>
  <si>
    <t>Re-aeration co-efficient</t>
  </si>
  <si>
    <t>Deoxygenation co-efficient</t>
  </si>
  <si>
    <t>1. Dilution flows</t>
  </si>
  <si>
    <t>2. Flow over regulatory structures</t>
  </si>
  <si>
    <t>3. Dilution and re-aeration in large, shallow storages</t>
  </si>
  <si>
    <t>The simple models contained in this file predict dissolved oxygen (DO) in a parcel of water immediately after application of each of these mitigation activities and also provide an estimation of the persistence of any re-aeration effect.</t>
  </si>
  <si>
    <t>These models rely on a number of simplifications and assumptions. These are detailed at the head of each spreadsheet. Please read the disclaimer before making use of these models.</t>
  </si>
  <si>
    <t>Whitworth, KL and Baldwin, DS (2013) Improving the capacity to manage blackwater in the southern Murray-Darling Basin. Final Report prepared for the Murray-Darling Basin Authority by The Murray-Darling Freshwater Research Centre, June 2013.</t>
  </si>
  <si>
    <t>Hypoxic blackwater can have catastrophic impacts on the aquatic environment. Good flow planning can reduce the risk of hypoxic blackwater generation, yet in some instances hypoxic blackwater generation may be inevitable or due to natural events. In these cases, a number of management options are available for re-aeration of this blackwater, including:</t>
  </si>
  <si>
    <t>Notes</t>
  </si>
  <si>
    <t>Converted from ML/day entered on front screen</t>
  </si>
  <si>
    <t>Dilution flows can be used to mitigate the impacts of hypoxic blackwater. This model predicts the immediate effect and downstream persistence of dilution water inflows for hypoxic blackwater treatment. It assumes complete mixing of the two parcels of water and that all DOC in both blackwater and dilution water is of the same reactivity. A constant, rectangular river cross-section downstream of the mixing point is assumed, and temperature is assumed to remain constant after mixing.</t>
  </si>
  <si>
    <t>DILUTION FLOWS</t>
  </si>
  <si>
    <t>FLOW OVER STRUCTURES</t>
  </si>
  <si>
    <t>select</t>
  </si>
  <si>
    <t>Physical turbulence induced by flow over engineering structures can be used to enhance re-aeration of hypoxic blackwater. This model predicts the immediate re-aeration provided by flow over a structure and then predicts the downstream persistence of this effect.</t>
  </si>
  <si>
    <t>LAKE DILUTION AND WIND REAERATION</t>
  </si>
  <si>
    <t>GL</t>
  </si>
  <si>
    <t>Converted from GL entered on front screen</t>
  </si>
  <si>
    <t>Key outputs upon initial mixing</t>
  </si>
  <si>
    <t>Critical downstream DO (lowest value)</t>
  </si>
  <si>
    <t>Key outputs after fall over structure</t>
  </si>
  <si>
    <t>Key outputs after mixing</t>
  </si>
  <si>
    <t>Output time series</t>
  </si>
  <si>
    <t>Downstream time series</t>
  </si>
  <si>
    <t>All model sheets derive their data from formulae in this worksheet. DO NOT MODIFY FORMULAE IN THIS SHEET</t>
  </si>
  <si>
    <r>
      <t>DO</t>
    </r>
    <r>
      <rPr>
        <vertAlign val="subscript"/>
        <sz val="10"/>
        <rFont val="Arial"/>
        <family val="2"/>
      </rPr>
      <t>min</t>
    </r>
    <r>
      <rPr>
        <sz val="10"/>
        <rFont val="Arial"/>
        <family val="2"/>
      </rPr>
      <t xml:space="preserve"> =</t>
    </r>
  </si>
  <si>
    <t>&lt;- If unknown, blackwater DOC is usually 20 - 30 mg/L</t>
  </si>
  <si>
    <t>&lt;- If dilution water DOC is unknown or known to be unreactive, enter 0.</t>
  </si>
  <si>
    <t>Users should enter values for their system parameters in the yellow cells in each intervention measure assessment sheet. Formaule and additional parameters, pre-filled with recommended values, are located in the "worksheet" tab. Cells in this tab are protected to prevent accidental modification, but may be unprotected if user-customisation of parameters is desired. This should be undertaken by experienced users only.</t>
  </si>
  <si>
    <r>
      <t>k</t>
    </r>
    <r>
      <rPr>
        <vertAlign val="subscript"/>
        <sz val="10"/>
        <rFont val="Arial"/>
        <family val="2"/>
      </rPr>
      <t>d,20</t>
    </r>
    <r>
      <rPr>
        <sz val="10"/>
        <rFont val="Arial"/>
        <family val="2"/>
      </rPr>
      <t xml:space="preserve"> = 0.03 : Whitworth and Baldwin 2013</t>
    </r>
  </si>
  <si>
    <r>
      <t>k</t>
    </r>
    <r>
      <rPr>
        <vertAlign val="subscript"/>
        <sz val="10"/>
        <rFont val="Arial"/>
        <family val="2"/>
      </rPr>
      <t>d</t>
    </r>
    <r>
      <rPr>
        <sz val="10"/>
        <rFont val="Arial"/>
        <family val="2"/>
      </rPr>
      <t xml:space="preserve"> = k</t>
    </r>
    <r>
      <rPr>
        <vertAlign val="subscript"/>
        <sz val="10"/>
        <rFont val="Arial"/>
        <family val="2"/>
      </rPr>
      <t>d,20</t>
    </r>
    <r>
      <rPr>
        <sz val="10"/>
        <rFont val="Arial"/>
        <family val="2"/>
      </rPr>
      <t>.(-0.2088 + 0.0604T) : Whitworth and Baldwin 2013</t>
    </r>
  </si>
  <si>
    <t>Whitworth KL and Baldwin DS (2013) Improving the capacity to manage blackwater in the southern Murray-Darling Basin. Final Report prepared for the Murray-Darling Basin Authority by The Murray-Darling Freshwater Research Centre, June 2013.</t>
  </si>
  <si>
    <t>From front screen</t>
  </si>
  <si>
    <t>Minimum value encountered over timespan of model</t>
  </si>
  <si>
    <r>
      <t>L</t>
    </r>
    <r>
      <rPr>
        <vertAlign val="subscript"/>
        <sz val="10"/>
        <rFont val="Arial"/>
        <family val="2"/>
      </rPr>
      <t>0</t>
    </r>
    <r>
      <rPr>
        <sz val="10"/>
        <rFont val="Arial"/>
        <family val="2"/>
      </rPr>
      <t xml:space="preserve"> = 2.664.DOC</t>
    </r>
    <r>
      <rPr>
        <vertAlign val="subscript"/>
        <sz val="10"/>
        <rFont val="Arial"/>
        <family val="2"/>
      </rPr>
      <t>0</t>
    </r>
    <r>
      <rPr>
        <sz val="10"/>
        <rFont val="Arial"/>
        <family val="2"/>
      </rPr>
      <t xml:space="preserve"> ; Aerobic oxidation of 1 mg C consumes 2.664 mg O</t>
    </r>
  </si>
  <si>
    <t>Clean - no blackwater present</t>
  </si>
  <si>
    <t>Gross - severe blackwater, DOC &gt; 30 mg/L</t>
  </si>
  <si>
    <t>Moderate - blackwater, DOC &gt; 20 mg/L</t>
  </si>
  <si>
    <t>Slight - elevated oxygen demand, DOC &gt; 10 mg/L</t>
  </si>
  <si>
    <t>&lt;- Select based on list below</t>
  </si>
  <si>
    <t>&lt;- For blackwater, choose a = 0.65 or 1</t>
  </si>
  <si>
    <t>Conversion:</t>
  </si>
  <si>
    <t>DO after mixing of first day's inflow into lake</t>
  </si>
  <si>
    <t>DOC after mixing of first day's inflow into lake</t>
  </si>
  <si>
    <t>Darren Baldwin
Rivers and Wetlands
darren@riversandwetlands.com.au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</si>
</sst>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0.0"/>
    <numFmt numFmtId="166" formatCode="_(* #,##0.0_);_(* \(#,##0.0\);_(* &quot;-&quot;??_);_(@_)"/>
    <numFmt numFmtId="167" formatCode="General_)"/>
    <numFmt numFmtId="168" formatCode="_(* #,##0_);_(* \(#,##0\);_(* &quot;-&quot;??_);_(@_)"/>
    <numFmt numFmtId="169" formatCode="_(* #,##0.0000_);_(* \(#,##0.0000\);_(* &quot;-&quot;??_);_(@_)"/>
    <numFmt numFmtId="170" formatCode="0.000"/>
  </numFmts>
  <fonts count="32">
    <font>
      <sz val="11"/>
      <color theme="1"/>
      <name val="Calibri"/>
      <family val="2"/>
      <scheme val="minor"/>
    </font>
    <font>
      <b/>
      <sz val="14"/>
      <color theme="1"/>
      <name val="Calibri"/>
      <family val="2"/>
      <scheme val="minor"/>
    </font>
    <font>
      <vertAlign val="subscript"/>
      <sz val="11"/>
      <color theme="1"/>
      <name val="Calibri"/>
      <family val="2"/>
      <scheme val="minor"/>
    </font>
    <font>
      <sz val="10"/>
      <name val="Arial"/>
      <family val="2"/>
    </font>
    <font>
      <b/>
      <sz val="10"/>
      <color indexed="9"/>
      <name val="Arial"/>
      <family val="2"/>
    </font>
    <font>
      <vertAlign val="subscript"/>
      <sz val="10"/>
      <name val="Arial"/>
      <family val="2"/>
    </font>
    <font>
      <b/>
      <sz val="12"/>
      <name val="Arial"/>
      <family val="2"/>
    </font>
    <font>
      <b/>
      <sz val="10"/>
      <name val="Arial"/>
      <family val="2"/>
    </font>
    <font>
      <b/>
      <sz val="14"/>
      <name val="Arial"/>
      <family val="2"/>
    </font>
    <font>
      <sz val="10"/>
      <color theme="1"/>
      <name val="Arial"/>
      <family val="2"/>
    </font>
    <font>
      <sz val="12"/>
      <name val="Helv"/>
    </font>
    <font>
      <b/>
      <sz val="10"/>
      <color theme="1"/>
      <name val="Arial"/>
      <family val="2"/>
    </font>
    <font>
      <b/>
      <sz val="11"/>
      <color theme="1"/>
      <name val="Calibri"/>
      <family val="2"/>
      <scheme val="minor"/>
    </font>
    <font>
      <vertAlign val="subscript"/>
      <sz val="10"/>
      <color theme="1"/>
      <name val="Arial"/>
      <family val="2"/>
    </font>
    <font>
      <vertAlign val="superscript"/>
      <sz val="10"/>
      <name val="Arial"/>
      <family val="2"/>
    </font>
    <font>
      <sz val="10"/>
      <color rgb="FFC00000"/>
      <name val="Arial"/>
      <family val="2"/>
    </font>
    <font>
      <b/>
      <vertAlign val="subscript"/>
      <sz val="10"/>
      <color indexed="9"/>
      <name val="Arial"/>
      <family val="2"/>
    </font>
    <font>
      <i/>
      <sz val="10"/>
      <name val="Arial"/>
      <family val="2"/>
    </font>
    <font>
      <i/>
      <sz val="11"/>
      <color theme="1"/>
      <name val="Calibri"/>
      <family val="2"/>
      <scheme val="minor"/>
    </font>
    <font>
      <u/>
      <sz val="11"/>
      <color theme="10"/>
      <name val="Calibri"/>
      <family val="2"/>
      <scheme val="minor"/>
    </font>
    <font>
      <sz val="11"/>
      <color theme="1"/>
      <name val="Arial"/>
      <family val="2"/>
    </font>
    <font>
      <b/>
      <sz val="12"/>
      <color theme="1"/>
      <name val="Arial"/>
      <family val="2"/>
    </font>
    <font>
      <i/>
      <sz val="10"/>
      <color theme="1"/>
      <name val="Arial"/>
      <family val="2"/>
    </font>
    <font>
      <b/>
      <sz val="12"/>
      <color indexed="9"/>
      <name val="Arial"/>
      <family val="2"/>
    </font>
    <font>
      <b/>
      <sz val="12"/>
      <color theme="0"/>
      <name val="Arial"/>
      <family val="2"/>
    </font>
    <font>
      <b/>
      <i/>
      <sz val="12"/>
      <color theme="1"/>
      <name val="Arial"/>
      <family val="2"/>
    </font>
    <font>
      <b/>
      <i/>
      <sz val="12"/>
      <name val="Arial"/>
      <family val="2"/>
    </font>
    <font>
      <vertAlign val="superscript"/>
      <sz val="11"/>
      <color theme="1"/>
      <name val="Calibri"/>
      <family val="2"/>
      <scheme val="minor"/>
    </font>
    <font>
      <sz val="11"/>
      <color theme="1"/>
      <name val="Calibri"/>
      <family val="2"/>
      <scheme val="minor"/>
    </font>
    <font>
      <sz val="12"/>
      <color theme="1"/>
      <name val="Times New Roman"/>
      <family val="1"/>
    </font>
    <font>
      <b/>
      <vertAlign val="superscript"/>
      <sz val="10"/>
      <color indexed="9"/>
      <name val="Arial"/>
      <family val="2"/>
    </font>
    <font>
      <sz val="11"/>
      <name val="Calibri"/>
      <family val="2"/>
      <scheme val="minor"/>
    </font>
  </fonts>
  <fills count="20">
    <fill>
      <patternFill patternType="none"/>
    </fill>
    <fill>
      <patternFill patternType="gray125"/>
    </fill>
    <fill>
      <patternFill patternType="solid">
        <fgColor theme="9" tint="0.59999389629810485"/>
        <bgColor indexed="64"/>
      </patternFill>
    </fill>
    <fill>
      <patternFill patternType="solid">
        <fgColor indexed="42"/>
        <bgColor indexed="64"/>
      </patternFill>
    </fill>
    <fill>
      <patternFill patternType="solid">
        <fgColor indexed="55"/>
        <bgColor indexed="64"/>
      </patternFill>
    </fill>
    <fill>
      <patternFill patternType="solid">
        <fgColor indexed="48"/>
        <bgColor indexed="64"/>
      </patternFill>
    </fill>
    <fill>
      <patternFill patternType="solid">
        <fgColor rgb="FF92D05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00B050"/>
        <bgColor indexed="64"/>
      </patternFill>
    </fill>
    <fill>
      <patternFill patternType="solid">
        <fgColor rgb="FF40743C"/>
        <bgColor indexed="64"/>
      </patternFill>
    </fill>
    <fill>
      <patternFill patternType="solid">
        <fgColor theme="9" tint="-0.249977111117893"/>
        <bgColor indexed="64"/>
      </patternFill>
    </fill>
    <fill>
      <patternFill patternType="solid">
        <fgColor rgb="FFFFFF00"/>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6">
    <xf numFmtId="0" fontId="0"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167" fontId="10" fillId="0" borderId="0"/>
    <xf numFmtId="0" fontId="19" fillId="0" borderId="0" applyNumberFormat="0" applyFill="0" applyBorder="0" applyAlignment="0" applyProtection="0"/>
  </cellStyleXfs>
  <cellXfs count="236">
    <xf numFmtId="0" fontId="0" fillId="0" borderId="0" xfId="0"/>
    <xf numFmtId="0" fontId="1" fillId="0" borderId="1" xfId="0" applyFont="1" applyBorder="1"/>
    <xf numFmtId="0" fontId="0" fillId="0" borderId="3" xfId="0" applyBorder="1"/>
    <xf numFmtId="0" fontId="1" fillId="0" borderId="1" xfId="0" applyFont="1" applyBorder="1" applyAlignment="1">
      <alignment wrapText="1"/>
    </xf>
    <xf numFmtId="2" fontId="0" fillId="0" borderId="0" xfId="0" applyNumberFormat="1" applyAlignment="1">
      <alignment horizontal="center"/>
    </xf>
    <xf numFmtId="0" fontId="0" fillId="0" borderId="0" xfId="0" applyAlignment="1">
      <alignment horizontal="center"/>
    </xf>
    <xf numFmtId="0" fontId="3" fillId="0" borderId="0" xfId="1"/>
    <xf numFmtId="0" fontId="9" fillId="0" borderId="0" xfId="1" applyFont="1"/>
    <xf numFmtId="0" fontId="3" fillId="0" borderId="0" xfId="1" applyFill="1"/>
    <xf numFmtId="0" fontId="3" fillId="9" borderId="0" xfId="1" applyFill="1"/>
    <xf numFmtId="0" fontId="9" fillId="10" borderId="0" xfId="1" applyFont="1" applyFill="1"/>
    <xf numFmtId="0" fontId="9" fillId="10" borderId="0" xfId="1" applyFont="1" applyFill="1" applyAlignment="1">
      <alignment horizontal="right"/>
    </xf>
    <xf numFmtId="0" fontId="3" fillId="0" borderId="0" xfId="1" applyFill="1" applyBorder="1"/>
    <xf numFmtId="0" fontId="3" fillId="0" borderId="0" xfId="1" applyFill="1" applyAlignment="1">
      <alignment horizontal="right"/>
    </xf>
    <xf numFmtId="0" fontId="3" fillId="6" borderId="0" xfId="1" applyFill="1" applyAlignment="1">
      <alignment horizontal="right"/>
    </xf>
    <xf numFmtId="43" fontId="3" fillId="0" borderId="0" xfId="1" applyNumberFormat="1" applyFill="1"/>
    <xf numFmtId="0" fontId="3" fillId="9" borderId="0" xfId="1" applyFill="1" applyAlignment="1">
      <alignment horizontal="right"/>
    </xf>
    <xf numFmtId="0" fontId="9" fillId="9" borderId="0" xfId="1" applyFont="1" applyFill="1" applyBorder="1" applyAlignment="1">
      <alignment horizontal="left"/>
    </xf>
    <xf numFmtId="0" fontId="9" fillId="9" borderId="0" xfId="1" applyFont="1" applyFill="1" applyBorder="1" applyAlignment="1">
      <alignment horizontal="right"/>
    </xf>
    <xf numFmtId="0" fontId="12" fillId="0" borderId="0" xfId="0" applyFont="1"/>
    <xf numFmtId="0" fontId="9" fillId="0" borderId="0" xfId="1" applyFont="1" applyFill="1"/>
    <xf numFmtId="0" fontId="9" fillId="0" borderId="0" xfId="1" applyFont="1" applyFill="1" applyAlignment="1">
      <alignment horizontal="right"/>
    </xf>
    <xf numFmtId="165" fontId="9" fillId="0" borderId="0" xfId="1" applyNumberFormat="1" applyFont="1" applyFill="1"/>
    <xf numFmtId="0" fontId="0" fillId="0" borderId="2" xfId="0" applyBorder="1" applyAlignment="1">
      <alignment horizontal="left" vertical="top" wrapText="1"/>
    </xf>
    <xf numFmtId="14" fontId="0" fillId="0" borderId="0" xfId="0" applyNumberFormat="1"/>
    <xf numFmtId="2" fontId="3" fillId="0" borderId="0" xfId="1" applyNumberFormat="1" applyFill="1"/>
    <xf numFmtId="0" fontId="9" fillId="0" borderId="0" xfId="1" quotePrefix="1" applyFont="1"/>
    <xf numFmtId="0" fontId="3" fillId="10" borderId="0" xfId="1" applyFont="1" applyFill="1"/>
    <xf numFmtId="0" fontId="3" fillId="0" borderId="0" xfId="1" applyFont="1" applyFill="1"/>
    <xf numFmtId="0" fontId="3" fillId="0" borderId="0" xfId="1" applyFont="1"/>
    <xf numFmtId="0" fontId="3" fillId="2" borderId="0" xfId="1" applyFont="1" applyFill="1"/>
    <xf numFmtId="0" fontId="3" fillId="2" borderId="0" xfId="1" applyFont="1" applyFill="1" applyBorder="1" applyAlignment="1">
      <alignment horizontal="right"/>
    </xf>
    <xf numFmtId="0" fontId="3" fillId="15" borderId="0" xfId="1" applyFont="1" applyFill="1" applyBorder="1"/>
    <xf numFmtId="0" fontId="3" fillId="15" borderId="0" xfId="1" applyFont="1" applyFill="1" applyAlignment="1">
      <alignment horizontal="right"/>
    </xf>
    <xf numFmtId="0" fontId="3" fillId="15" borderId="0" xfId="1" applyFont="1" applyFill="1" applyBorder="1" applyAlignment="1">
      <alignment horizontal="right"/>
    </xf>
    <xf numFmtId="0" fontId="3" fillId="15" borderId="0" xfId="1" applyFont="1" applyFill="1"/>
    <xf numFmtId="43" fontId="3" fillId="8" borderId="0" xfId="1" applyNumberFormat="1" applyFill="1"/>
    <xf numFmtId="164" fontId="3" fillId="0" borderId="0" xfId="1" applyNumberFormat="1" applyFill="1"/>
    <xf numFmtId="164" fontId="3" fillId="9" borderId="0" xfId="1" applyNumberFormat="1" applyFill="1"/>
    <xf numFmtId="0" fontId="18" fillId="0" borderId="2" xfId="0" applyFont="1" applyBorder="1"/>
    <xf numFmtId="0" fontId="0" fillId="0" borderId="2" xfId="0" applyBorder="1" applyAlignment="1">
      <alignment vertical="top" wrapText="1"/>
    </xf>
    <xf numFmtId="0" fontId="20" fillId="0" borderId="0" xfId="0" applyFont="1"/>
    <xf numFmtId="0" fontId="9" fillId="0" borderId="0" xfId="0" applyFont="1"/>
    <xf numFmtId="0" fontId="11" fillId="0" borderId="0" xfId="0" applyFont="1"/>
    <xf numFmtId="0" fontId="9" fillId="0" borderId="0" xfId="1" applyFont="1" applyFill="1" applyBorder="1" applyAlignment="1">
      <alignment horizontal="left"/>
    </xf>
    <xf numFmtId="0" fontId="9" fillId="0" borderId="0" xfId="1" applyFont="1" applyFill="1" applyBorder="1" applyAlignment="1">
      <alignment horizontal="right"/>
    </xf>
    <xf numFmtId="0" fontId="11" fillId="0" borderId="0" xfId="0" applyFont="1" applyAlignment="1">
      <alignment horizontal="right"/>
    </xf>
    <xf numFmtId="0" fontId="3" fillId="8" borderId="0" xfId="1" applyFill="1" applyAlignment="1">
      <alignment horizontal="right"/>
    </xf>
    <xf numFmtId="0" fontId="23" fillId="0" borderId="0" xfId="1" applyFont="1" applyFill="1" applyAlignment="1"/>
    <xf numFmtId="0" fontId="9" fillId="2" borderId="0" xfId="0" applyFont="1" applyFill="1"/>
    <xf numFmtId="0" fontId="9" fillId="2" borderId="0" xfId="0" applyFont="1" applyFill="1" applyAlignment="1">
      <alignment horizontal="right"/>
    </xf>
    <xf numFmtId="0" fontId="3" fillId="0" borderId="0" xfId="1" applyFill="1" applyAlignment="1"/>
    <xf numFmtId="0" fontId="21" fillId="11" borderId="0" xfId="1" applyFont="1" applyFill="1" applyBorder="1" applyAlignment="1"/>
    <xf numFmtId="0" fontId="21" fillId="0" borderId="0" xfId="1" applyFont="1" applyFill="1" applyBorder="1" applyAlignment="1"/>
    <xf numFmtId="0" fontId="3" fillId="9" borderId="0" xfId="1" applyFont="1" applyFill="1" applyAlignment="1">
      <alignment horizontal="right"/>
    </xf>
    <xf numFmtId="0" fontId="9" fillId="9" borderId="0" xfId="0" applyFont="1" applyFill="1"/>
    <xf numFmtId="0" fontId="9" fillId="9" borderId="0" xfId="0" applyFont="1" applyFill="1" applyAlignment="1">
      <alignment horizontal="right"/>
    </xf>
    <xf numFmtId="0" fontId="8" fillId="0" borderId="0" xfId="1" applyFont="1" applyFill="1" applyAlignment="1">
      <alignment vertical="center"/>
    </xf>
    <xf numFmtId="0" fontId="22" fillId="0" borderId="0" xfId="0" applyFont="1" applyAlignment="1">
      <alignment vertical="top" wrapText="1"/>
    </xf>
    <xf numFmtId="0" fontId="9" fillId="0" borderId="0" xfId="0" applyFont="1" applyAlignment="1">
      <alignment vertical="top"/>
    </xf>
    <xf numFmtId="0" fontId="9" fillId="0" borderId="0" xfId="0" applyFont="1" applyFill="1"/>
    <xf numFmtId="0" fontId="9" fillId="0" borderId="0" xfId="0" applyFont="1" applyFill="1" applyAlignment="1">
      <alignment horizontal="right"/>
    </xf>
    <xf numFmtId="166" fontId="3" fillId="0" borderId="0" xfId="1" applyNumberFormat="1" applyFill="1"/>
    <xf numFmtId="0" fontId="3" fillId="0" borderId="0" xfId="1" applyFill="1" applyBorder="1" applyAlignment="1"/>
    <xf numFmtId="0" fontId="3" fillId="0" borderId="0" xfId="1" applyFont="1" applyFill="1" applyBorder="1" applyAlignment="1"/>
    <xf numFmtId="166" fontId="3" fillId="8" borderId="0" xfId="1" applyNumberFormat="1" applyFill="1"/>
    <xf numFmtId="0" fontId="11" fillId="8" borderId="0" xfId="0" applyFont="1" applyFill="1" applyAlignment="1">
      <alignment horizontal="right"/>
    </xf>
    <xf numFmtId="0" fontId="3" fillId="8" borderId="0" xfId="1" applyFont="1" applyFill="1" applyBorder="1" applyAlignment="1"/>
    <xf numFmtId="0" fontId="9" fillId="8" borderId="0" xfId="0" applyFont="1" applyFill="1"/>
    <xf numFmtId="0" fontId="9" fillId="8" borderId="0" xfId="0" applyFont="1" applyFill="1" applyAlignment="1">
      <alignment horizontal="right"/>
    </xf>
    <xf numFmtId="0" fontId="4" fillId="0" borderId="0" xfId="1" applyFont="1" applyFill="1" applyAlignment="1"/>
    <xf numFmtId="164" fontId="3" fillId="0" borderId="0" xfId="1" applyNumberFormat="1" applyFill="1" applyAlignment="1"/>
    <xf numFmtId="43" fontId="3" fillId="0" borderId="0" xfId="1" applyNumberFormat="1" applyFill="1" applyAlignment="1"/>
    <xf numFmtId="0" fontId="20" fillId="0" borderId="0" xfId="0" applyFont="1" applyFill="1"/>
    <xf numFmtId="0" fontId="8" fillId="0" borderId="0" xfId="1" applyFont="1" applyFill="1" applyAlignment="1">
      <alignment horizontal="center" vertical="center"/>
    </xf>
    <xf numFmtId="0" fontId="8" fillId="0" borderId="0" xfId="1" applyFont="1" applyFill="1" applyAlignment="1">
      <alignment horizontal="left" vertical="center"/>
    </xf>
    <xf numFmtId="0" fontId="9" fillId="18" borderId="0" xfId="1" applyFont="1" applyFill="1" applyAlignment="1">
      <alignment horizontal="right"/>
    </xf>
    <xf numFmtId="0" fontId="9" fillId="18" borderId="0" xfId="1" applyFont="1" applyFill="1"/>
    <xf numFmtId="0" fontId="3" fillId="18" borderId="0" xfId="1" applyFont="1" applyFill="1"/>
    <xf numFmtId="0" fontId="0" fillId="0" borderId="0" xfId="0" applyFill="1"/>
    <xf numFmtId="43" fontId="3" fillId="9" borderId="0" xfId="1" applyNumberFormat="1" applyFill="1" applyAlignment="1"/>
    <xf numFmtId="166" fontId="9" fillId="0" borderId="0" xfId="3" applyNumberFormat="1" applyFont="1" applyFill="1"/>
    <xf numFmtId="0" fontId="9" fillId="0" borderId="0" xfId="1" quotePrefix="1" applyFont="1" applyFill="1"/>
    <xf numFmtId="2" fontId="11" fillId="0" borderId="0" xfId="1" applyNumberFormat="1" applyFont="1" applyFill="1"/>
    <xf numFmtId="0" fontId="0" fillId="0" borderId="0" xfId="0" applyAlignment="1">
      <alignment wrapText="1"/>
    </xf>
    <xf numFmtId="0" fontId="3" fillId="0" borderId="0" xfId="1" applyAlignment="1">
      <alignment wrapText="1"/>
    </xf>
    <xf numFmtId="0" fontId="9" fillId="10" borderId="0" xfId="1" applyFont="1" applyFill="1"/>
    <xf numFmtId="0" fontId="4" fillId="0" borderId="0" xfId="1" applyFont="1" applyFill="1" applyAlignment="1">
      <alignment wrapText="1"/>
    </xf>
    <xf numFmtId="0" fontId="4" fillId="0" borderId="0" xfId="1" applyFont="1" applyFill="1" applyAlignment="1">
      <alignment horizontal="center" wrapText="1"/>
    </xf>
    <xf numFmtId="0" fontId="0" fillId="0" borderId="0" xfId="0" applyFill="1" applyAlignment="1">
      <alignment wrapText="1"/>
    </xf>
    <xf numFmtId="0" fontId="4" fillId="0" borderId="0" xfId="1" applyFont="1" applyFill="1" applyAlignment="1">
      <alignment horizontal="center"/>
    </xf>
    <xf numFmtId="43" fontId="3" fillId="0" borderId="0" xfId="1" applyNumberFormat="1" applyFill="1" applyAlignment="1">
      <alignment horizontal="center"/>
    </xf>
    <xf numFmtId="169" fontId="3" fillId="0" borderId="0" xfId="1" applyNumberFormat="1" applyFill="1" applyAlignment="1">
      <alignment horizontal="center"/>
    </xf>
    <xf numFmtId="0" fontId="0" fillId="0" borderId="0" xfId="0" applyFont="1"/>
    <xf numFmtId="14" fontId="0" fillId="0" borderId="0" xfId="0" applyNumberFormat="1" applyFill="1"/>
    <xf numFmtId="0" fontId="6" fillId="0" borderId="0" xfId="1" applyFont="1" applyFill="1" applyAlignment="1">
      <alignment horizontal="left"/>
    </xf>
    <xf numFmtId="168" fontId="28" fillId="0" borderId="0" xfId="3" applyNumberFormat="1" applyFont="1" applyFill="1"/>
    <xf numFmtId="0" fontId="23" fillId="0" borderId="0" xfId="1" applyFont="1" applyFill="1" applyAlignment="1">
      <alignment horizontal="left"/>
    </xf>
    <xf numFmtId="1" fontId="3" fillId="0" borderId="0" xfId="1" applyNumberFormat="1" applyFill="1" applyBorder="1"/>
    <xf numFmtId="0" fontId="6" fillId="0" borderId="0" xfId="1" applyFont="1" applyFill="1" applyAlignment="1"/>
    <xf numFmtId="0" fontId="4" fillId="12" borderId="0" xfId="1" applyFont="1" applyFill="1" applyAlignment="1">
      <alignment horizontal="center"/>
    </xf>
    <xf numFmtId="0" fontId="4" fillId="12" borderId="0" xfId="1" applyFont="1" applyFill="1" applyAlignment="1">
      <alignment horizontal="center" wrapText="1"/>
    </xf>
    <xf numFmtId="0" fontId="0" fillId="0" borderId="0" xfId="0" applyBorder="1" applyAlignment="1">
      <alignment vertical="top" wrapText="1"/>
    </xf>
    <xf numFmtId="0" fontId="0" fillId="0" borderId="3" xfId="0" applyBorder="1" applyAlignment="1">
      <alignment vertical="top" wrapText="1"/>
    </xf>
    <xf numFmtId="0" fontId="29" fillId="0" borderId="0" xfId="0" applyFont="1" applyFill="1"/>
    <xf numFmtId="0" fontId="31" fillId="0" borderId="2" xfId="5" applyFont="1" applyFill="1" applyBorder="1" applyAlignment="1">
      <alignment wrapText="1"/>
    </xf>
    <xf numFmtId="0" fontId="3" fillId="6" borderId="0" xfId="1" applyFill="1"/>
    <xf numFmtId="0" fontId="4" fillId="12" borderId="0" xfId="1" applyFont="1" applyFill="1" applyAlignment="1">
      <alignment horizontal="center"/>
    </xf>
    <xf numFmtId="0" fontId="9" fillId="10" borderId="0" xfId="1" applyFont="1" applyFill="1"/>
    <xf numFmtId="0" fontId="3" fillId="15" borderId="0" xfId="1" applyFont="1" applyFill="1" applyBorder="1"/>
    <xf numFmtId="0" fontId="9" fillId="9" borderId="0" xfId="1" applyFont="1" applyFill="1" applyBorder="1" applyAlignment="1">
      <alignment horizontal="left"/>
    </xf>
    <xf numFmtId="0" fontId="3" fillId="9" borderId="0" xfId="1" applyFill="1" applyBorder="1"/>
    <xf numFmtId="0" fontId="3" fillId="6" borderId="0" xfId="1" applyFill="1" applyAlignment="1">
      <alignment horizontal="left"/>
    </xf>
    <xf numFmtId="0" fontId="3" fillId="8" borderId="0" xfId="1" applyFill="1"/>
    <xf numFmtId="0" fontId="9" fillId="9" borderId="0" xfId="0" applyFont="1" applyFill="1"/>
    <xf numFmtId="0" fontId="9" fillId="9" borderId="0" xfId="1" applyFont="1" applyFill="1" applyBorder="1" applyAlignment="1"/>
    <xf numFmtId="0" fontId="9" fillId="8" borderId="0" xfId="0" applyFont="1" applyFill="1"/>
    <xf numFmtId="0" fontId="4" fillId="12" borderId="0" xfId="1" applyFont="1" applyFill="1" applyAlignment="1"/>
    <xf numFmtId="0" fontId="9" fillId="2" borderId="0" xfId="0" applyFont="1" applyFill="1"/>
    <xf numFmtId="0" fontId="9" fillId="18" borderId="0" xfId="1" applyFont="1" applyFill="1"/>
    <xf numFmtId="2" fontId="3" fillId="6" borderId="0" xfId="1" applyNumberFormat="1" applyFill="1"/>
    <xf numFmtId="165" fontId="11" fillId="0" borderId="0" xfId="1" applyNumberFormat="1" applyFont="1" applyFill="1"/>
    <xf numFmtId="2" fontId="7" fillId="6" borderId="0" xfId="1" applyNumberFormat="1" applyFont="1" applyFill="1"/>
    <xf numFmtId="0" fontId="0" fillId="0" borderId="4" xfId="0" applyBorder="1"/>
    <xf numFmtId="0" fontId="1" fillId="0" borderId="0" xfId="0" applyFont="1"/>
    <xf numFmtId="1" fontId="11" fillId="0" borderId="0" xfId="1" applyNumberFormat="1" applyFont="1" applyFill="1"/>
    <xf numFmtId="0" fontId="22" fillId="2" borderId="0" xfId="0" applyFont="1" applyFill="1"/>
    <xf numFmtId="0" fontId="8" fillId="0" borderId="4" xfId="1" applyFont="1" applyFill="1" applyBorder="1" applyAlignment="1">
      <alignment vertical="center"/>
    </xf>
    <xf numFmtId="0" fontId="9" fillId="0" borderId="4" xfId="0" applyFont="1" applyBorder="1"/>
    <xf numFmtId="0" fontId="9" fillId="0" borderId="4" xfId="1" applyFont="1" applyFill="1" applyBorder="1"/>
    <xf numFmtId="0" fontId="9" fillId="0" borderId="4" xfId="1" applyFont="1" applyBorder="1"/>
    <xf numFmtId="0" fontId="11" fillId="0" borderId="4" xfId="0" applyFont="1" applyBorder="1"/>
    <xf numFmtId="0" fontId="3" fillId="0" borderId="4" xfId="1" applyFont="1" applyFill="1" applyBorder="1" applyAlignment="1"/>
    <xf numFmtId="0" fontId="3" fillId="0" borderId="4" xfId="1" applyFill="1" applyBorder="1"/>
    <xf numFmtId="0" fontId="3" fillId="0" borderId="4" xfId="1" applyFill="1" applyBorder="1" applyAlignment="1"/>
    <xf numFmtId="0" fontId="3" fillId="0" borderId="4" xfId="1" applyBorder="1"/>
    <xf numFmtId="0" fontId="20" fillId="0" borderId="4" xfId="0" applyFont="1" applyBorder="1"/>
    <xf numFmtId="0" fontId="17" fillId="0" borderId="0" xfId="1" applyFont="1" applyFill="1" applyAlignment="1">
      <alignment vertical="top" wrapText="1"/>
    </xf>
    <xf numFmtId="168" fontId="11" fillId="0" borderId="0" xfId="3" applyNumberFormat="1" applyFont="1" applyFill="1"/>
    <xf numFmtId="2" fontId="7" fillId="9" borderId="0" xfId="1" applyNumberFormat="1" applyFont="1" applyFill="1"/>
    <xf numFmtId="2" fontId="3" fillId="9" borderId="0" xfId="1" applyNumberFormat="1" applyFill="1" applyAlignment="1"/>
    <xf numFmtId="1" fontId="3" fillId="6" borderId="0" xfId="1" applyNumberFormat="1" applyFill="1" applyAlignment="1"/>
    <xf numFmtId="2" fontId="3" fillId="9" borderId="0" xfId="1" applyNumberFormat="1" applyFill="1" applyAlignment="1" applyProtection="1">
      <alignment horizontal="right"/>
    </xf>
    <xf numFmtId="2" fontId="7" fillId="6" borderId="0" xfId="1" applyNumberFormat="1" applyFont="1" applyFill="1" applyAlignment="1" applyProtection="1">
      <alignment horizontal="right"/>
    </xf>
    <xf numFmtId="2" fontId="7" fillId="9" borderId="0" xfId="1" applyNumberFormat="1" applyFont="1" applyFill="1" applyAlignment="1" applyProtection="1">
      <alignment horizontal="right"/>
    </xf>
    <xf numFmtId="168" fontId="9" fillId="14" borderId="0" xfId="3" applyNumberFormat="1" applyFont="1" applyFill="1" applyProtection="1">
      <protection locked="0"/>
    </xf>
    <xf numFmtId="166" fontId="9" fillId="14" borderId="0" xfId="3" applyNumberFormat="1" applyFont="1" applyFill="1" applyProtection="1">
      <protection locked="0"/>
    </xf>
    <xf numFmtId="2" fontId="3" fillId="9" borderId="0" xfId="1" applyNumberFormat="1" applyFill="1"/>
    <xf numFmtId="165" fontId="3" fillId="9" borderId="0" xfId="1" applyNumberFormat="1" applyFill="1"/>
    <xf numFmtId="2" fontId="3" fillId="8" borderId="0" xfId="1" applyNumberFormat="1" applyFill="1"/>
    <xf numFmtId="170" fontId="3" fillId="8" borderId="0" xfId="1" applyNumberFormat="1" applyFill="1"/>
    <xf numFmtId="165" fontId="9" fillId="9" borderId="0" xfId="3" applyNumberFormat="1" applyFont="1" applyFill="1"/>
    <xf numFmtId="1" fontId="9" fillId="9" borderId="0" xfId="3" applyNumberFormat="1" applyFont="1" applyFill="1"/>
    <xf numFmtId="1" fontId="9" fillId="14" borderId="0" xfId="3" applyNumberFormat="1" applyFont="1" applyFill="1" applyProtection="1">
      <protection locked="0"/>
    </xf>
    <xf numFmtId="165" fontId="9" fillId="14" borderId="0" xfId="3" applyNumberFormat="1" applyFont="1" applyFill="1" applyProtection="1">
      <protection locked="0"/>
    </xf>
    <xf numFmtId="165" fontId="9" fillId="14" borderId="0" xfId="0" applyNumberFormat="1" applyFont="1" applyFill="1" applyProtection="1">
      <protection locked="0"/>
    </xf>
    <xf numFmtId="1" fontId="9" fillId="14" borderId="0" xfId="0" applyNumberFormat="1" applyFont="1" applyFill="1" applyProtection="1">
      <protection locked="0"/>
    </xf>
    <xf numFmtId="2" fontId="9" fillId="14" borderId="0" xfId="0" applyNumberFormat="1" applyFont="1" applyFill="1" applyProtection="1">
      <protection locked="0"/>
    </xf>
    <xf numFmtId="2" fontId="3" fillId="6" borderId="0" xfId="1" applyNumberFormat="1" applyFill="1" applyAlignment="1"/>
    <xf numFmtId="165" fontId="3" fillId="6" borderId="0" xfId="1" applyNumberFormat="1" applyFill="1" applyAlignment="1"/>
    <xf numFmtId="165" fontId="11" fillId="17" borderId="0" xfId="1" applyNumberFormat="1" applyFont="1" applyFill="1"/>
    <xf numFmtId="0" fontId="9" fillId="19" borderId="0" xfId="1" applyFont="1" applyFill="1" applyProtection="1">
      <protection locked="0"/>
    </xf>
    <xf numFmtId="2" fontId="9" fillId="9" borderId="0" xfId="0" applyNumberFormat="1" applyFont="1" applyFill="1"/>
    <xf numFmtId="165" fontId="9" fillId="9" borderId="0" xfId="0" applyNumberFormat="1" applyFont="1" applyFill="1"/>
    <xf numFmtId="1" fontId="9" fillId="9" borderId="0" xfId="0" applyNumberFormat="1" applyFont="1" applyFill="1"/>
    <xf numFmtId="165" fontId="3" fillId="8" borderId="0" xfId="1" applyNumberFormat="1" applyFill="1"/>
    <xf numFmtId="0" fontId="3" fillId="0" borderId="0" xfId="1" applyFill="1" applyAlignment="1">
      <alignment horizontal="left"/>
    </xf>
    <xf numFmtId="170" fontId="3" fillId="6" borderId="0" xfId="1" applyNumberFormat="1" applyFill="1" applyAlignment="1"/>
    <xf numFmtId="0" fontId="3" fillId="6" borderId="0" xfId="1" applyFill="1"/>
    <xf numFmtId="0" fontId="4" fillId="12" borderId="0" xfId="1" applyFont="1" applyFill="1" applyAlignment="1">
      <alignment horizontal="center"/>
    </xf>
    <xf numFmtId="1" fontId="3" fillId="6" borderId="0" xfId="1" applyNumberFormat="1" applyFill="1"/>
    <xf numFmtId="0" fontId="9" fillId="10" borderId="0" xfId="1" applyFont="1" applyFill="1"/>
    <xf numFmtId="0" fontId="3" fillId="15" borderId="0" xfId="1" applyFont="1" applyFill="1" applyBorder="1"/>
    <xf numFmtId="0" fontId="9" fillId="15" borderId="0" xfId="1" applyFont="1" applyFill="1"/>
    <xf numFmtId="0" fontId="3" fillId="2" borderId="0" xfId="1" applyFont="1" applyFill="1" applyBorder="1"/>
    <xf numFmtId="0" fontId="9" fillId="9" borderId="0" xfId="1" applyFont="1" applyFill="1" applyBorder="1" applyAlignment="1">
      <alignment horizontal="left"/>
    </xf>
    <xf numFmtId="43" fontId="3" fillId="6" borderId="0" xfId="1" applyNumberFormat="1" applyFill="1"/>
    <xf numFmtId="0" fontId="3" fillId="0" borderId="0" xfId="1" applyAlignment="1">
      <alignment horizontal="center"/>
    </xf>
    <xf numFmtId="0" fontId="3" fillId="0" borderId="0" xfId="1" applyFill="1" applyAlignment="1">
      <alignment horizontal="center"/>
    </xf>
    <xf numFmtId="0" fontId="24" fillId="12" borderId="0" xfId="1" applyFont="1" applyFill="1" applyAlignment="1">
      <alignment horizontal="left"/>
    </xf>
    <xf numFmtId="0" fontId="3" fillId="9" borderId="0" xfId="1" applyFill="1" applyAlignment="1">
      <alignment horizontal="left"/>
    </xf>
    <xf numFmtId="0" fontId="3" fillId="9" borderId="0" xfId="1" applyFill="1" applyBorder="1"/>
    <xf numFmtId="0" fontId="21" fillId="11" borderId="0" xfId="1" applyFont="1" applyFill="1" applyBorder="1" applyAlignment="1">
      <alignment horizontal="left"/>
    </xf>
    <xf numFmtId="0" fontId="23" fillId="5" borderId="0" xfId="1" applyFont="1" applyFill="1" applyAlignment="1">
      <alignment horizontal="left"/>
    </xf>
    <xf numFmtId="0" fontId="8" fillId="3" borderId="0" xfId="1" applyFont="1" applyFill="1" applyAlignment="1">
      <alignment horizontal="center" vertical="center"/>
    </xf>
    <xf numFmtId="0" fontId="17" fillId="0" borderId="0" xfId="1" applyFont="1" applyFill="1" applyAlignment="1">
      <alignment horizontal="left" wrapText="1"/>
    </xf>
    <xf numFmtId="0" fontId="26" fillId="0" borderId="0" xfId="1" applyFont="1" applyAlignment="1">
      <alignment horizontal="left"/>
    </xf>
    <xf numFmtId="0" fontId="7" fillId="16" borderId="0" xfId="1" applyFont="1" applyFill="1" applyAlignment="1">
      <alignment horizontal="left"/>
    </xf>
    <xf numFmtId="0" fontId="6" fillId="4" borderId="0" xfId="1" applyFont="1" applyFill="1" applyAlignment="1">
      <alignment horizontal="left"/>
    </xf>
    <xf numFmtId="0" fontId="23" fillId="13" borderId="0" xfId="1" applyFont="1" applyFill="1" applyAlignment="1">
      <alignment horizontal="left"/>
    </xf>
    <xf numFmtId="0" fontId="9" fillId="0" borderId="0" xfId="1" applyFont="1" applyAlignment="1">
      <alignment horizontal="left" vertical="top" wrapText="1"/>
    </xf>
    <xf numFmtId="0" fontId="9" fillId="0" borderId="0" xfId="1" applyFont="1" applyFill="1" applyAlignment="1">
      <alignment horizontal="center"/>
    </xf>
    <xf numFmtId="0" fontId="9" fillId="0" borderId="0" xfId="1" applyFont="1" applyAlignment="1">
      <alignment horizontal="center"/>
    </xf>
    <xf numFmtId="0" fontId="23" fillId="0" borderId="0" xfId="1" applyFont="1" applyFill="1" applyAlignment="1">
      <alignment horizontal="center"/>
    </xf>
    <xf numFmtId="0" fontId="9" fillId="0" borderId="0" xfId="0" applyFont="1" applyAlignment="1">
      <alignment horizontal="center"/>
    </xf>
    <xf numFmtId="0" fontId="9" fillId="0" borderId="0" xfId="0" applyFont="1" applyAlignment="1">
      <alignment horizontal="left"/>
    </xf>
    <xf numFmtId="0" fontId="3" fillId="0" borderId="0" xfId="1" applyFont="1" applyFill="1" applyBorder="1" applyAlignment="1">
      <alignment horizontal="left" vertical="top" wrapText="1"/>
    </xf>
    <xf numFmtId="43" fontId="3" fillId="6" borderId="0" xfId="1" applyNumberFormat="1" applyFill="1" applyAlignment="1"/>
    <xf numFmtId="0" fontId="3" fillId="2" borderId="0" xfId="1" applyFont="1" applyFill="1" applyBorder="1" applyAlignment="1"/>
    <xf numFmtId="0" fontId="23" fillId="7" borderId="0" xfId="1" applyFont="1" applyFill="1" applyBorder="1" applyAlignment="1"/>
    <xf numFmtId="0" fontId="9" fillId="8" borderId="0" xfId="0" applyFont="1" applyFill="1"/>
    <xf numFmtId="0" fontId="11" fillId="8" borderId="0" xfId="0" applyFont="1" applyFill="1"/>
    <xf numFmtId="0" fontId="23" fillId="12" borderId="0" xfId="1" applyFont="1" applyFill="1" applyAlignment="1">
      <alignment horizontal="left" wrapText="1"/>
    </xf>
    <xf numFmtId="0" fontId="4" fillId="12" borderId="0" xfId="1" applyFont="1" applyFill="1" applyAlignment="1"/>
    <xf numFmtId="0" fontId="3" fillId="0" borderId="0" xfId="1" applyFont="1" applyFill="1" applyBorder="1" applyAlignment="1">
      <alignment horizontal="center"/>
    </xf>
    <xf numFmtId="0" fontId="9" fillId="9" borderId="0" xfId="0" applyFont="1" applyFill="1"/>
    <xf numFmtId="0" fontId="9" fillId="9" borderId="0" xfId="1" applyFont="1" applyFill="1" applyBorder="1" applyAlignment="1"/>
    <xf numFmtId="0" fontId="3" fillId="0" borderId="0" xfId="1" applyFont="1" applyFill="1" applyBorder="1" applyAlignment="1">
      <alignment horizontal="left" vertical="top"/>
    </xf>
    <xf numFmtId="0" fontId="0" fillId="0" borderId="0" xfId="0" applyAlignment="1">
      <alignment horizontal="left" vertical="top"/>
    </xf>
    <xf numFmtId="1" fontId="3" fillId="6" borderId="0" xfId="1" applyNumberFormat="1" applyFill="1" applyAlignment="1"/>
    <xf numFmtId="0" fontId="3" fillId="6" borderId="0" xfId="1" applyFill="1" applyAlignment="1"/>
    <xf numFmtId="0" fontId="3" fillId="9" borderId="0" xfId="1" applyFill="1" applyAlignment="1"/>
    <xf numFmtId="0" fontId="22" fillId="0" borderId="0" xfId="0" applyFont="1" applyAlignment="1">
      <alignment horizontal="left" vertical="top" wrapText="1"/>
    </xf>
    <xf numFmtId="0" fontId="25" fillId="0" borderId="0" xfId="0" applyFont="1" applyAlignment="1">
      <alignment horizontal="left" vertical="top"/>
    </xf>
    <xf numFmtId="0" fontId="21" fillId="0" borderId="0" xfId="0" applyFont="1" applyAlignment="1">
      <alignment horizontal="left" vertical="top"/>
    </xf>
    <xf numFmtId="0" fontId="9" fillId="10" borderId="0" xfId="1" applyFont="1" applyFill="1" applyAlignment="1"/>
    <xf numFmtId="0" fontId="9" fillId="2" borderId="0" xfId="0" applyFont="1" applyFill="1"/>
    <xf numFmtId="0" fontId="9" fillId="0" borderId="0" xfId="1" applyFont="1" applyFill="1" applyAlignment="1">
      <alignment horizontal="left" vertical="top"/>
    </xf>
    <xf numFmtId="0" fontId="9" fillId="0" borderId="0" xfId="1" applyFont="1" applyAlignment="1">
      <alignment horizontal="left" vertical="top"/>
    </xf>
    <xf numFmtId="0" fontId="0" fillId="0" borderId="0" xfId="0" applyAlignment="1">
      <alignment horizontal="left" vertical="top" wrapText="1"/>
    </xf>
    <xf numFmtId="2" fontId="3" fillId="6" borderId="0" xfId="1" applyNumberFormat="1" applyFill="1" applyAlignment="1">
      <alignment horizontal="right"/>
    </xf>
    <xf numFmtId="0" fontId="0" fillId="0" borderId="0" xfId="0" applyAlignment="1">
      <alignment horizontal="center"/>
    </xf>
    <xf numFmtId="0" fontId="4" fillId="12" borderId="0" xfId="1" applyFont="1" applyFill="1" applyAlignment="1">
      <alignment horizontal="center" wrapText="1"/>
    </xf>
    <xf numFmtId="0" fontId="9" fillId="18" borderId="0" xfId="1" applyFont="1" applyFill="1"/>
    <xf numFmtId="0" fontId="8" fillId="0" borderId="0" xfId="1" applyFont="1" applyFill="1" applyAlignment="1">
      <alignment horizontal="center" vertical="center"/>
    </xf>
    <xf numFmtId="0" fontId="17" fillId="0" borderId="0" xfId="1" applyFont="1" applyFill="1" applyAlignment="1">
      <alignment horizontal="left" vertical="top" wrapText="1"/>
    </xf>
    <xf numFmtId="0" fontId="4" fillId="12" borderId="5" xfId="1" applyFont="1" applyFill="1" applyBorder="1" applyAlignment="1">
      <alignment horizontal="center" wrapText="1"/>
    </xf>
    <xf numFmtId="0" fontId="3" fillId="6" borderId="0" xfId="1" applyFill="1" applyAlignment="1">
      <alignment horizontal="left"/>
    </xf>
    <xf numFmtId="0" fontId="3" fillId="8" borderId="0" xfId="1" applyFill="1"/>
    <xf numFmtId="0" fontId="23" fillId="7" borderId="0" xfId="1" applyFont="1" applyFill="1" applyBorder="1" applyAlignment="1">
      <alignment horizontal="left"/>
    </xf>
    <xf numFmtId="165" fontId="3" fillId="6" borderId="0" xfId="1" applyNumberFormat="1" applyFill="1" applyAlignment="1"/>
    <xf numFmtId="2" fontId="3" fillId="6" borderId="0" xfId="1" applyNumberFormat="1" applyFill="1" applyAlignment="1"/>
    <xf numFmtId="0" fontId="3" fillId="8" borderId="0" xfId="1" applyFill="1" applyAlignment="1"/>
    <xf numFmtId="0" fontId="3" fillId="9" borderId="0" xfId="1" applyFont="1" applyFill="1" applyBorder="1"/>
    <xf numFmtId="165" fontId="3" fillId="6" borderId="0" xfId="1" applyNumberFormat="1" applyFill="1"/>
    <xf numFmtId="2" fontId="3" fillId="6" borderId="0" xfId="1" applyNumberFormat="1" applyFill="1"/>
  </cellXfs>
  <cellStyles count="6">
    <cellStyle name="Comma 2" xfId="3" xr:uid="{00000000-0005-0000-0000-000000000000}"/>
    <cellStyle name="Hyperlink" xfId="5" builtinId="8"/>
    <cellStyle name="Normal" xfId="0" builtinId="0"/>
    <cellStyle name="Normal 2" xfId="1" xr:uid="{00000000-0005-0000-0000-000003000000}"/>
    <cellStyle name="Normal 3" xfId="4" xr:uid="{00000000-0005-0000-0000-000004000000}"/>
    <cellStyle name="Percent 2" xfId="2" xr:uid="{00000000-0005-0000-0000-000005000000}"/>
  </cellStyles>
  <dxfs count="24">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9" defaultPivotStyle="PivotStyleLight16"/>
  <colors>
    <mruColors>
      <color rgb="FF40743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1273027491282"/>
          <c:y val="8.8524590163934422E-2"/>
          <c:w val="0.78349241556073113"/>
          <c:h val="0.74296927395116619"/>
        </c:manualLayout>
      </c:layout>
      <c:scatterChart>
        <c:scatterStyle val="lineMarker"/>
        <c:varyColors val="0"/>
        <c:ser>
          <c:idx val="0"/>
          <c:order val="0"/>
          <c:tx>
            <c:v>Blackwater DO</c:v>
          </c:tx>
          <c:spPr>
            <a:ln>
              <a:noFill/>
            </a:ln>
          </c:spPr>
          <c:marker>
            <c:symbol val="diamond"/>
            <c:size val="10"/>
            <c:spPr>
              <a:solidFill>
                <a:srgbClr val="FF0000"/>
              </a:solidFill>
              <a:ln>
                <a:solidFill>
                  <a:srgbClr val="FF0000"/>
                </a:solidFill>
              </a:ln>
            </c:spPr>
          </c:marker>
          <c:xVal>
            <c:numRef>
              <c:f>'1. Dilution flows'!$C$30:$D$30</c:f>
              <c:numCache>
                <c:formatCode>0</c:formatCode>
                <c:ptCount val="2"/>
                <c:pt idx="0">
                  <c:v>0</c:v>
                </c:pt>
              </c:numCache>
            </c:numRef>
          </c:xVal>
          <c:yVal>
            <c:numRef>
              <c:f>'1. Dilution flows'!$G$7</c:f>
              <c:numCache>
                <c:formatCode>_(* #,##0.0_);_(* \(#,##0.0\);_(* "-"??_);_(@_)</c:formatCode>
                <c:ptCount val="1"/>
                <c:pt idx="0">
                  <c:v>0</c:v>
                </c:pt>
              </c:numCache>
            </c:numRef>
          </c:yVal>
          <c:smooth val="0"/>
          <c:extLst>
            <c:ext xmlns:c16="http://schemas.microsoft.com/office/drawing/2014/chart" uri="{C3380CC4-5D6E-409C-BE32-E72D297353CC}">
              <c16:uniqueId val="{00000000-09DD-1943-8C84-E474EB5EDFF8}"/>
            </c:ext>
          </c:extLst>
        </c:ser>
        <c:ser>
          <c:idx val="2"/>
          <c:order val="1"/>
          <c:tx>
            <c:v>Dilution water DO</c:v>
          </c:tx>
          <c:spPr>
            <a:ln>
              <a:noFill/>
            </a:ln>
          </c:spPr>
          <c:marker>
            <c:symbol val="triangle"/>
            <c:size val="10"/>
            <c:spPr>
              <a:solidFill>
                <a:srgbClr val="0070C0"/>
              </a:solidFill>
              <a:ln>
                <a:solidFill>
                  <a:srgbClr val="0070C0"/>
                </a:solidFill>
              </a:ln>
            </c:spPr>
          </c:marker>
          <c:xVal>
            <c:numRef>
              <c:f>'1. Dilution flows'!$C$30:$D$30</c:f>
              <c:numCache>
                <c:formatCode>0</c:formatCode>
                <c:ptCount val="2"/>
                <c:pt idx="0">
                  <c:v>0</c:v>
                </c:pt>
              </c:numCache>
            </c:numRef>
          </c:xVal>
          <c:yVal>
            <c:numRef>
              <c:f>'1. Dilution flows'!$G$13</c:f>
              <c:numCache>
                <c:formatCode>_(* #,##0.0_);_(* \(#,##0.0\);_(* "-"??_);_(@_)</c:formatCode>
                <c:ptCount val="1"/>
                <c:pt idx="0">
                  <c:v>1</c:v>
                </c:pt>
              </c:numCache>
            </c:numRef>
          </c:yVal>
          <c:smooth val="0"/>
          <c:extLst>
            <c:ext xmlns:c16="http://schemas.microsoft.com/office/drawing/2014/chart" uri="{C3380CC4-5D6E-409C-BE32-E72D297353CC}">
              <c16:uniqueId val="{00000001-09DD-1943-8C84-E474EB5EDFF8}"/>
            </c:ext>
          </c:extLst>
        </c:ser>
        <c:ser>
          <c:idx val="1"/>
          <c:order val="2"/>
          <c:tx>
            <c:v>Downstream DO</c:v>
          </c:tx>
          <c:spPr>
            <a:ln w="25400">
              <a:solidFill>
                <a:srgbClr val="40743C"/>
              </a:solidFill>
              <a:prstDash val="solid"/>
            </a:ln>
          </c:spPr>
          <c:marker>
            <c:symbol val="none"/>
          </c:marker>
          <c:xVal>
            <c:numRef>
              <c:f>'1. Dilution flows'!$C$30:$C$70</c:f>
              <c:numCache>
                <c:formatCode>0</c:formatCode>
                <c:ptCount val="41"/>
                <c:pt idx="0">
                  <c:v>0</c:v>
                </c:pt>
                <c:pt idx="1">
                  <c:v>0.4</c:v>
                </c:pt>
                <c:pt idx="2">
                  <c:v>0.8</c:v>
                </c:pt>
                <c:pt idx="3">
                  <c:v>1.2</c:v>
                </c:pt>
                <c:pt idx="4">
                  <c:v>1.6</c:v>
                </c:pt>
                <c:pt idx="5">
                  <c:v>2</c:v>
                </c:pt>
                <c:pt idx="6">
                  <c:v>2.4</c:v>
                </c:pt>
                <c:pt idx="7">
                  <c:v>2.8</c:v>
                </c:pt>
                <c:pt idx="8">
                  <c:v>3.2</c:v>
                </c:pt>
                <c:pt idx="9">
                  <c:v>3.6</c:v>
                </c:pt>
                <c:pt idx="10">
                  <c:v>4</c:v>
                </c:pt>
                <c:pt idx="11">
                  <c:v>4.4000000000000004</c:v>
                </c:pt>
                <c:pt idx="12">
                  <c:v>4.8</c:v>
                </c:pt>
                <c:pt idx="13">
                  <c:v>5.2</c:v>
                </c:pt>
                <c:pt idx="14">
                  <c:v>5.6</c:v>
                </c:pt>
                <c:pt idx="15">
                  <c:v>6</c:v>
                </c:pt>
                <c:pt idx="16">
                  <c:v>6.4</c:v>
                </c:pt>
                <c:pt idx="17">
                  <c:v>6.8</c:v>
                </c:pt>
                <c:pt idx="18">
                  <c:v>7.2</c:v>
                </c:pt>
                <c:pt idx="19">
                  <c:v>7.6</c:v>
                </c:pt>
                <c:pt idx="20">
                  <c:v>8</c:v>
                </c:pt>
                <c:pt idx="21">
                  <c:v>8.4</c:v>
                </c:pt>
                <c:pt idx="22">
                  <c:v>8.8000000000000007</c:v>
                </c:pt>
                <c:pt idx="23">
                  <c:v>9.1999999999999993</c:v>
                </c:pt>
                <c:pt idx="24">
                  <c:v>9.6</c:v>
                </c:pt>
                <c:pt idx="25">
                  <c:v>10</c:v>
                </c:pt>
                <c:pt idx="26">
                  <c:v>10.4</c:v>
                </c:pt>
                <c:pt idx="27">
                  <c:v>10.8</c:v>
                </c:pt>
                <c:pt idx="28">
                  <c:v>11.2</c:v>
                </c:pt>
                <c:pt idx="29">
                  <c:v>11.6</c:v>
                </c:pt>
                <c:pt idx="30">
                  <c:v>12</c:v>
                </c:pt>
                <c:pt idx="31">
                  <c:v>12.4</c:v>
                </c:pt>
                <c:pt idx="32">
                  <c:v>12.8</c:v>
                </c:pt>
                <c:pt idx="33">
                  <c:v>13.2</c:v>
                </c:pt>
                <c:pt idx="34">
                  <c:v>13.6</c:v>
                </c:pt>
                <c:pt idx="35">
                  <c:v>14</c:v>
                </c:pt>
                <c:pt idx="36">
                  <c:v>14.4</c:v>
                </c:pt>
                <c:pt idx="37">
                  <c:v>14.8</c:v>
                </c:pt>
                <c:pt idx="38">
                  <c:v>15.2</c:v>
                </c:pt>
                <c:pt idx="39">
                  <c:v>15.6</c:v>
                </c:pt>
                <c:pt idx="40">
                  <c:v>16</c:v>
                </c:pt>
              </c:numCache>
            </c:numRef>
          </c:xVal>
          <c:yVal>
            <c:numRef>
              <c:f>'1. Dilution flows'!$E$30:$E$70</c:f>
              <c:numCache>
                <c:formatCode>_(* #,##0.00_);_(* \(#,##0.00\);_(* "-"??_);_(@_)</c:formatCode>
                <c:ptCount val="41"/>
                <c:pt idx="0">
                  <c:v>0</c:v>
                </c:pt>
                <c:pt idx="1">
                  <c:v>0</c:v>
                </c:pt>
                <c:pt idx="2">
                  <c:v>0</c:v>
                </c:pt>
                <c:pt idx="3">
                  <c:v>0</c:v>
                </c:pt>
                <c:pt idx="4">
                  <c:v>0</c:v>
                </c:pt>
                <c:pt idx="5">
                  <c:v>0</c:v>
                </c:pt>
                <c:pt idx="6">
                  <c:v>0</c:v>
                </c:pt>
                <c:pt idx="7">
                  <c:v>0</c:v>
                </c:pt>
                <c:pt idx="8">
                  <c:v>0</c:v>
                </c:pt>
                <c:pt idx="9">
                  <c:v>0</c:v>
                </c:pt>
                <c:pt idx="10">
                  <c:v>8.2381242552216349E-3</c:v>
                </c:pt>
                <c:pt idx="11">
                  <c:v>3.1076358384405367E-2</c:v>
                </c:pt>
                <c:pt idx="12">
                  <c:v>5.6963534052298925E-2</c:v>
                </c:pt>
                <c:pt idx="13">
                  <c:v>8.5702648520298297E-2</c:v>
                </c:pt>
                <c:pt idx="14">
                  <c:v>0.11710755138220641</c:v>
                </c:pt>
                <c:pt idx="15">
                  <c:v>0.15100235878667156</c:v>
                </c:pt>
                <c:pt idx="16">
                  <c:v>0.18722089918750662</c:v>
                </c:pt>
                <c:pt idx="17">
                  <c:v>0.22560618892566353</c:v>
                </c:pt>
                <c:pt idx="18">
                  <c:v>0.26600993603793377</c:v>
                </c:pt>
                <c:pt idx="19">
                  <c:v>0.30829207077374754</c:v>
                </c:pt>
                <c:pt idx="20">
                  <c:v>0.35232030138315018</c:v>
                </c:pt>
                <c:pt idx="21">
                  <c:v>0.39796969381637304</c:v>
                </c:pt>
                <c:pt idx="22">
                  <c:v>0.44512227404848126</c:v>
                </c:pt>
                <c:pt idx="23">
                  <c:v>0.49366665181188196</c:v>
                </c:pt>
                <c:pt idx="24">
                  <c:v>0.54349766458489235</c:v>
                </c:pt>
                <c:pt idx="25">
                  <c:v>0.59451604074656039</c:v>
                </c:pt>
                <c:pt idx="26">
                  <c:v>0.6466280808665541</c:v>
                </c:pt>
                <c:pt idx="27">
                  <c:v>0.69974535615439137</c:v>
                </c:pt>
                <c:pt idx="28">
                  <c:v>0.75378442314483962</c:v>
                </c:pt>
                <c:pt idx="29">
                  <c:v>0.80866655374586394</c:v>
                </c:pt>
                <c:pt idx="30">
                  <c:v>0.86431747982262053</c:v>
                </c:pt>
                <c:pt idx="31">
                  <c:v>0.92066715153538325</c:v>
                </c:pt>
                <c:pt idx="32">
                  <c:v>0.97764950869138012</c:v>
                </c:pt>
                <c:pt idx="33">
                  <c:v>1.0352022644103585</c:v>
                </c:pt>
                <c:pt idx="34">
                  <c:v>1.0932667004413066</c:v>
                </c:pt>
                <c:pt idx="35">
                  <c:v>1.1517874735034681</c:v>
                </c:pt>
                <c:pt idx="36">
                  <c:v>1.2107124320584823</c:v>
                </c:pt>
                <c:pt idx="37">
                  <c:v>1.2699924429523506</c:v>
                </c:pt>
                <c:pt idx="38">
                  <c:v>1.3295812273962451</c:v>
                </c:pt>
                <c:pt idx="39">
                  <c:v>1.3894352057835704</c:v>
                </c:pt>
                <c:pt idx="40">
                  <c:v>1.4495133508679068</c:v>
                </c:pt>
              </c:numCache>
            </c:numRef>
          </c:yVal>
          <c:smooth val="1"/>
          <c:extLst>
            <c:ext xmlns:c16="http://schemas.microsoft.com/office/drawing/2014/chart" uri="{C3380CC4-5D6E-409C-BE32-E72D297353CC}">
              <c16:uniqueId val="{00000002-09DD-1943-8C84-E474EB5EDFF8}"/>
            </c:ext>
          </c:extLst>
        </c:ser>
        <c:dLbls>
          <c:showLegendKey val="0"/>
          <c:showVal val="0"/>
          <c:showCatName val="0"/>
          <c:showSerName val="0"/>
          <c:showPercent val="0"/>
          <c:showBubbleSize val="0"/>
        </c:dLbls>
        <c:axId val="128133200"/>
        <c:axId val="389337120"/>
      </c:scatterChart>
      <c:valAx>
        <c:axId val="128133200"/>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AU"/>
                  <a:t>Downstream</a:t>
                </a:r>
                <a:r>
                  <a:rPr lang="en-AU" baseline="0"/>
                  <a:t> distance </a:t>
                </a:r>
                <a:r>
                  <a:rPr lang="en-AU"/>
                  <a:t>(km)</a:t>
                </a:r>
              </a:p>
            </c:rich>
          </c:tx>
          <c:layout>
            <c:manualLayout>
              <c:xMode val="edge"/>
              <c:yMode val="edge"/>
              <c:x val="0.39951865222623345"/>
              <c:y val="0.91240285816008015"/>
            </c:manualLayout>
          </c:layout>
          <c:overlay val="0"/>
          <c:spPr>
            <a:noFill/>
            <a:ln w="25400">
              <a:noFill/>
            </a:ln>
          </c:spPr>
        </c:title>
        <c:numFmt formatCode="General" sourceLinked="0"/>
        <c:majorTickMark val="in"/>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389337120"/>
        <c:crosses val="autoZero"/>
        <c:crossBetween val="midCat"/>
      </c:valAx>
      <c:valAx>
        <c:axId val="389337120"/>
        <c:scaling>
          <c:orientation val="minMax"/>
          <c:min val="0"/>
        </c:scaling>
        <c:delete val="0"/>
        <c:axPos val="l"/>
        <c:title>
          <c:tx>
            <c:rich>
              <a:bodyPr/>
              <a:lstStyle/>
              <a:p>
                <a:pPr>
                  <a:defRPr sz="1025" b="1" i="0" u="none" strike="noStrike" baseline="0">
                    <a:solidFill>
                      <a:srgbClr val="000000"/>
                    </a:solidFill>
                    <a:latin typeface="Arial"/>
                    <a:ea typeface="Arial"/>
                    <a:cs typeface="Arial"/>
                  </a:defRPr>
                </a:pPr>
                <a:r>
                  <a:rPr lang="en-AU"/>
                  <a:t>  DO</a:t>
                </a:r>
                <a:r>
                  <a:rPr lang="en-AU" baseline="0"/>
                  <a:t> </a:t>
                </a:r>
                <a:r>
                  <a:rPr lang="en-AU"/>
                  <a:t>(mg/L)</a:t>
                </a:r>
              </a:p>
            </c:rich>
          </c:tx>
          <c:layout>
            <c:manualLayout>
              <c:xMode val="edge"/>
              <c:yMode val="edge"/>
              <c:x val="3.9838330067896444E-2"/>
              <c:y val="0.31026012517666063"/>
            </c:manualLayout>
          </c:layout>
          <c:overlay val="0"/>
          <c:spPr>
            <a:noFill/>
            <a:ln w="25400">
              <a:noFill/>
            </a:ln>
          </c:spPr>
        </c:title>
        <c:numFmt formatCode="General" sourceLinked="0"/>
        <c:majorTickMark val="in"/>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128133200"/>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49212598499999999" footer="0.49212598499999999"/>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1273027491282"/>
          <c:y val="0.13184570340259813"/>
          <c:w val="0.78349241556073113"/>
          <c:h val="0.69964808550555724"/>
        </c:manualLayout>
      </c:layout>
      <c:scatterChart>
        <c:scatterStyle val="lineMarker"/>
        <c:varyColors val="0"/>
        <c:ser>
          <c:idx val="0"/>
          <c:order val="0"/>
          <c:tx>
            <c:v>Blackwater DO</c:v>
          </c:tx>
          <c:spPr>
            <a:ln>
              <a:noFill/>
            </a:ln>
          </c:spPr>
          <c:marker>
            <c:symbol val="diamond"/>
            <c:size val="10"/>
            <c:spPr>
              <a:solidFill>
                <a:srgbClr val="FF0000"/>
              </a:solidFill>
              <a:ln>
                <a:solidFill>
                  <a:srgbClr val="FF0000"/>
                </a:solidFill>
              </a:ln>
            </c:spPr>
          </c:marker>
          <c:xVal>
            <c:numRef>
              <c:f>'1. Dilution flows'!$A$30:$B$30</c:f>
              <c:numCache>
                <c:formatCode>General</c:formatCode>
                <c:ptCount val="2"/>
                <c:pt idx="0">
                  <c:v>0</c:v>
                </c:pt>
              </c:numCache>
            </c:numRef>
          </c:xVal>
          <c:yVal>
            <c:numRef>
              <c:f>'1. Dilution flows'!$G$7</c:f>
              <c:numCache>
                <c:formatCode>_(* #,##0.0_);_(* \(#,##0.0\);_(* "-"??_);_(@_)</c:formatCode>
                <c:ptCount val="1"/>
                <c:pt idx="0">
                  <c:v>0</c:v>
                </c:pt>
              </c:numCache>
            </c:numRef>
          </c:yVal>
          <c:smooth val="0"/>
          <c:extLst>
            <c:ext xmlns:c16="http://schemas.microsoft.com/office/drawing/2014/chart" uri="{C3380CC4-5D6E-409C-BE32-E72D297353CC}">
              <c16:uniqueId val="{00000000-94DA-B347-8830-0BE67276591B}"/>
            </c:ext>
          </c:extLst>
        </c:ser>
        <c:ser>
          <c:idx val="2"/>
          <c:order val="1"/>
          <c:tx>
            <c:v>Dilution water DO</c:v>
          </c:tx>
          <c:spPr>
            <a:ln>
              <a:noFill/>
            </a:ln>
          </c:spPr>
          <c:marker>
            <c:symbol val="triangle"/>
            <c:size val="10"/>
            <c:spPr>
              <a:solidFill>
                <a:srgbClr val="0070C0"/>
              </a:solidFill>
              <a:ln>
                <a:solidFill>
                  <a:srgbClr val="0070C0"/>
                </a:solidFill>
              </a:ln>
            </c:spPr>
          </c:marker>
          <c:xVal>
            <c:numRef>
              <c:f>'1. Dilution flows'!$A$30:$B$30</c:f>
              <c:numCache>
                <c:formatCode>General</c:formatCode>
                <c:ptCount val="2"/>
                <c:pt idx="0">
                  <c:v>0</c:v>
                </c:pt>
              </c:numCache>
            </c:numRef>
          </c:xVal>
          <c:yVal>
            <c:numRef>
              <c:f>'1. Dilution flows'!$G$13</c:f>
              <c:numCache>
                <c:formatCode>_(* #,##0.0_);_(* \(#,##0.0\);_(* "-"??_);_(@_)</c:formatCode>
                <c:ptCount val="1"/>
                <c:pt idx="0">
                  <c:v>1</c:v>
                </c:pt>
              </c:numCache>
            </c:numRef>
          </c:yVal>
          <c:smooth val="0"/>
          <c:extLst>
            <c:ext xmlns:c16="http://schemas.microsoft.com/office/drawing/2014/chart" uri="{C3380CC4-5D6E-409C-BE32-E72D297353CC}">
              <c16:uniqueId val="{00000001-94DA-B347-8830-0BE67276591B}"/>
            </c:ext>
          </c:extLst>
        </c:ser>
        <c:ser>
          <c:idx val="1"/>
          <c:order val="2"/>
          <c:tx>
            <c:v>Downstream DO</c:v>
          </c:tx>
          <c:spPr>
            <a:ln w="25400">
              <a:solidFill>
                <a:srgbClr val="40743C"/>
              </a:solidFill>
              <a:prstDash val="solid"/>
            </a:ln>
          </c:spPr>
          <c:marker>
            <c:symbol val="none"/>
          </c:marker>
          <c:xVal>
            <c:numRef>
              <c:f>'1. Dilution flows'!$A$30:$A$70</c:f>
              <c:numCache>
                <c:formatCode>General</c:formatCode>
                <c:ptCount val="4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numCache>
            </c:numRef>
          </c:xVal>
          <c:yVal>
            <c:numRef>
              <c:f>'1. Dilution flows'!$E$30:$E$70</c:f>
              <c:numCache>
                <c:formatCode>_(* #,##0.00_);_(* \(#,##0.00\);_(* "-"??_);_(@_)</c:formatCode>
                <c:ptCount val="41"/>
                <c:pt idx="0">
                  <c:v>0</c:v>
                </c:pt>
                <c:pt idx="1">
                  <c:v>0</c:v>
                </c:pt>
                <c:pt idx="2">
                  <c:v>0</c:v>
                </c:pt>
                <c:pt idx="3">
                  <c:v>0</c:v>
                </c:pt>
                <c:pt idx="4">
                  <c:v>0</c:v>
                </c:pt>
                <c:pt idx="5">
                  <c:v>0</c:v>
                </c:pt>
                <c:pt idx="6">
                  <c:v>0</c:v>
                </c:pt>
                <c:pt idx="7">
                  <c:v>0</c:v>
                </c:pt>
                <c:pt idx="8">
                  <c:v>0</c:v>
                </c:pt>
                <c:pt idx="9">
                  <c:v>0</c:v>
                </c:pt>
                <c:pt idx="10">
                  <c:v>8.2381242552216349E-3</c:v>
                </c:pt>
                <c:pt idx="11">
                  <c:v>3.1076358384405367E-2</c:v>
                </c:pt>
                <c:pt idx="12">
                  <c:v>5.6963534052298925E-2</c:v>
                </c:pt>
                <c:pt idx="13">
                  <c:v>8.5702648520298297E-2</c:v>
                </c:pt>
                <c:pt idx="14">
                  <c:v>0.11710755138220641</c:v>
                </c:pt>
                <c:pt idx="15">
                  <c:v>0.15100235878667156</c:v>
                </c:pt>
                <c:pt idx="16">
                  <c:v>0.18722089918750662</c:v>
                </c:pt>
                <c:pt idx="17">
                  <c:v>0.22560618892566353</c:v>
                </c:pt>
                <c:pt idx="18">
                  <c:v>0.26600993603793377</c:v>
                </c:pt>
                <c:pt idx="19">
                  <c:v>0.30829207077374754</c:v>
                </c:pt>
                <c:pt idx="20">
                  <c:v>0.35232030138315018</c:v>
                </c:pt>
                <c:pt idx="21">
                  <c:v>0.39796969381637304</c:v>
                </c:pt>
                <c:pt idx="22">
                  <c:v>0.44512227404848126</c:v>
                </c:pt>
                <c:pt idx="23">
                  <c:v>0.49366665181188196</c:v>
                </c:pt>
                <c:pt idx="24">
                  <c:v>0.54349766458489235</c:v>
                </c:pt>
                <c:pt idx="25">
                  <c:v>0.59451604074656039</c:v>
                </c:pt>
                <c:pt idx="26">
                  <c:v>0.6466280808665541</c:v>
                </c:pt>
                <c:pt idx="27">
                  <c:v>0.69974535615439137</c:v>
                </c:pt>
                <c:pt idx="28">
                  <c:v>0.75378442314483962</c:v>
                </c:pt>
                <c:pt idx="29">
                  <c:v>0.80866655374586394</c:v>
                </c:pt>
                <c:pt idx="30">
                  <c:v>0.86431747982262053</c:v>
                </c:pt>
                <c:pt idx="31">
                  <c:v>0.92066715153538325</c:v>
                </c:pt>
                <c:pt idx="32">
                  <c:v>0.97764950869138012</c:v>
                </c:pt>
                <c:pt idx="33">
                  <c:v>1.0352022644103585</c:v>
                </c:pt>
                <c:pt idx="34">
                  <c:v>1.0932667004413066</c:v>
                </c:pt>
                <c:pt idx="35">
                  <c:v>1.1517874735034681</c:v>
                </c:pt>
                <c:pt idx="36">
                  <c:v>1.2107124320584823</c:v>
                </c:pt>
                <c:pt idx="37">
                  <c:v>1.2699924429523506</c:v>
                </c:pt>
                <c:pt idx="38">
                  <c:v>1.3295812273962451</c:v>
                </c:pt>
                <c:pt idx="39">
                  <c:v>1.3894352057835704</c:v>
                </c:pt>
                <c:pt idx="40">
                  <c:v>1.4495133508679068</c:v>
                </c:pt>
              </c:numCache>
            </c:numRef>
          </c:yVal>
          <c:smooth val="1"/>
          <c:extLst>
            <c:ext xmlns:c16="http://schemas.microsoft.com/office/drawing/2014/chart" uri="{C3380CC4-5D6E-409C-BE32-E72D297353CC}">
              <c16:uniqueId val="{00000002-94DA-B347-8830-0BE67276591B}"/>
            </c:ext>
          </c:extLst>
        </c:ser>
        <c:dLbls>
          <c:showLegendKey val="0"/>
          <c:showVal val="0"/>
          <c:showCatName val="0"/>
          <c:showSerName val="0"/>
          <c:showPercent val="0"/>
          <c:showBubbleSize val="0"/>
        </c:dLbls>
        <c:axId val="389335944"/>
        <c:axId val="389335552"/>
      </c:scatterChart>
      <c:valAx>
        <c:axId val="389335944"/>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AU"/>
                  <a:t>Time since mixing (days)</a:t>
                </a:r>
              </a:p>
            </c:rich>
          </c:tx>
          <c:layout>
            <c:manualLayout>
              <c:xMode val="edge"/>
              <c:yMode val="edge"/>
              <c:x val="0.35257033011718608"/>
              <c:y val="0.91240304348238055"/>
            </c:manualLayout>
          </c:layout>
          <c:overlay val="0"/>
          <c:spPr>
            <a:noFill/>
            <a:ln w="25400">
              <a:noFill/>
            </a:ln>
          </c:spPr>
        </c:title>
        <c:numFmt formatCode="General" sourceLinked="0"/>
        <c:majorTickMark val="in"/>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389335552"/>
        <c:crosses val="autoZero"/>
        <c:crossBetween val="midCat"/>
      </c:valAx>
      <c:valAx>
        <c:axId val="389335552"/>
        <c:scaling>
          <c:orientation val="minMax"/>
          <c:min val="0"/>
        </c:scaling>
        <c:delete val="0"/>
        <c:axPos val="l"/>
        <c:title>
          <c:tx>
            <c:rich>
              <a:bodyPr/>
              <a:lstStyle/>
              <a:p>
                <a:pPr>
                  <a:defRPr sz="1025" b="1" i="0" u="none" strike="noStrike" baseline="0">
                    <a:solidFill>
                      <a:srgbClr val="000000"/>
                    </a:solidFill>
                    <a:latin typeface="Arial"/>
                    <a:ea typeface="Arial"/>
                    <a:cs typeface="Arial"/>
                  </a:defRPr>
                </a:pPr>
                <a:r>
                  <a:rPr lang="en-AU"/>
                  <a:t>  DO</a:t>
                </a:r>
                <a:r>
                  <a:rPr lang="en-AU" baseline="0"/>
                  <a:t> </a:t>
                </a:r>
                <a:r>
                  <a:rPr lang="en-AU"/>
                  <a:t>(mg/L)</a:t>
                </a:r>
              </a:p>
            </c:rich>
          </c:tx>
          <c:layout>
            <c:manualLayout>
              <c:xMode val="edge"/>
              <c:yMode val="edge"/>
              <c:x val="3.0448658706394096E-2"/>
              <c:y val="0.32667038158691702"/>
            </c:manualLayout>
          </c:layout>
          <c:overlay val="0"/>
          <c:spPr>
            <a:noFill/>
            <a:ln w="25400">
              <a:noFill/>
            </a:ln>
          </c:spPr>
        </c:title>
        <c:numFmt formatCode="General" sourceLinked="0"/>
        <c:majorTickMark val="in"/>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389335944"/>
        <c:crosses val="autoZero"/>
        <c:crossBetween val="midCat"/>
      </c:valAx>
      <c:spPr>
        <a:noFill/>
        <a:ln w="12700">
          <a:solidFill>
            <a:srgbClr val="808080"/>
          </a:solidFill>
          <a:prstDash val="solid"/>
        </a:ln>
      </c:spPr>
    </c:plotArea>
    <c:legend>
      <c:legendPos val="t"/>
      <c:overlay val="0"/>
      <c:txPr>
        <a:bodyPr/>
        <a:lstStyle/>
        <a:p>
          <a:pPr>
            <a:defRPr sz="900"/>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49212598499999999" footer="0.49212598499999999"/>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999741229529406"/>
          <c:y val="0.12703222566493269"/>
          <c:w val="0.75845329193005806"/>
          <c:h val="0.70927504098088823"/>
        </c:manualLayout>
      </c:layout>
      <c:scatterChart>
        <c:scatterStyle val="lineMarker"/>
        <c:varyColors val="0"/>
        <c:ser>
          <c:idx val="0"/>
          <c:order val="0"/>
          <c:tx>
            <c:v>Upstream DO</c:v>
          </c:tx>
          <c:spPr>
            <a:ln>
              <a:noFill/>
            </a:ln>
          </c:spPr>
          <c:marker>
            <c:symbol val="diamond"/>
            <c:size val="10"/>
            <c:spPr>
              <a:solidFill>
                <a:srgbClr val="FF0000"/>
              </a:solidFill>
              <a:ln>
                <a:solidFill>
                  <a:srgbClr val="FF0000"/>
                </a:solidFill>
              </a:ln>
            </c:spPr>
          </c:marker>
          <c:xVal>
            <c:numLit>
              <c:formatCode>General</c:formatCode>
              <c:ptCount val="1"/>
              <c:pt idx="0">
                <c:v>0</c:v>
              </c:pt>
            </c:numLit>
          </c:xVal>
          <c:yVal>
            <c:numRef>
              <c:f>'2. Flow over structures'!$G$7</c:f>
              <c:numCache>
                <c:formatCode>0.0</c:formatCode>
                <c:ptCount val="1"/>
                <c:pt idx="0">
                  <c:v>1</c:v>
                </c:pt>
              </c:numCache>
            </c:numRef>
          </c:yVal>
          <c:smooth val="0"/>
          <c:extLst>
            <c:ext xmlns:c16="http://schemas.microsoft.com/office/drawing/2014/chart" uri="{C3380CC4-5D6E-409C-BE32-E72D297353CC}">
              <c16:uniqueId val="{00000000-C6C7-0545-A889-99379CEF549A}"/>
            </c:ext>
          </c:extLst>
        </c:ser>
        <c:ser>
          <c:idx val="1"/>
          <c:order val="1"/>
          <c:tx>
            <c:v>Downstream DO</c:v>
          </c:tx>
          <c:spPr>
            <a:ln w="25400">
              <a:solidFill>
                <a:srgbClr val="40743C"/>
              </a:solidFill>
              <a:prstDash val="solid"/>
            </a:ln>
          </c:spPr>
          <c:marker>
            <c:symbol val="none"/>
          </c:marker>
          <c:xVal>
            <c:numRef>
              <c:f>'2. Flow over structures'!$A$47:$A$87</c:f>
              <c:numCache>
                <c:formatCode>General</c:formatCode>
                <c:ptCount val="4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numCache>
            </c:numRef>
          </c:xVal>
          <c:yVal>
            <c:numRef>
              <c:f>'2. Flow over structures'!$E$47:$E$87</c:f>
              <c:numCache>
                <c:formatCode>_(* #,##0.00_);_(* \(#,##0.00\);_(* "-"??_);_(@_)</c:formatCode>
                <c:ptCount val="41"/>
                <c:pt idx="0">
                  <c:v>1.9175004179388262</c:v>
                </c:pt>
                <c:pt idx="1">
                  <c:v>3.3670230430144077</c:v>
                </c:pt>
                <c:pt idx="2">
                  <c:v>4.4636051669890051</c:v>
                </c:pt>
                <c:pt idx="3">
                  <c:v>5.2931833562621398</c:v>
                </c:pt>
                <c:pt idx="4">
                  <c:v>5.9207697057671709</c:v>
                </c:pt>
                <c:pt idx="5">
                  <c:v>6.3955466842098554</c:v>
                </c:pt>
                <c:pt idx="6">
                  <c:v>6.7547214486656868</c:v>
                </c:pt>
                <c:pt idx="7">
                  <c:v>7.0264416821215221</c:v>
                </c:pt>
                <c:pt idx="8">
                  <c:v>7.2320014613035379</c:v>
                </c:pt>
                <c:pt idx="9">
                  <c:v>7.3875100234740749</c:v>
                </c:pt>
                <c:pt idx="10">
                  <c:v>7.5051542095331305</c:v>
                </c:pt>
                <c:pt idx="11">
                  <c:v>7.5941535181263129</c:v>
                </c:pt>
                <c:pt idx="12">
                  <c:v>7.6614826161073086</c:v>
                </c:pt>
                <c:pt idx="13">
                  <c:v>7.712417926803437</c:v>
                </c:pt>
                <c:pt idx="14">
                  <c:v>7.7509511309233492</c:v>
                </c:pt>
                <c:pt idx="15">
                  <c:v>7.78010198520212</c:v>
                </c:pt>
                <c:pt idx="16">
                  <c:v>7.8021549736465197</c:v>
                </c:pt>
                <c:pt idx="17">
                  <c:v>7.8188383371829024</c:v>
                </c:pt>
                <c:pt idx="18">
                  <c:v>7.8314595118408787</c:v>
                </c:pt>
                <c:pt idx="19">
                  <c:v>7.8410075894452387</c:v>
                </c:pt>
                <c:pt idx="20">
                  <c:v>7.8482308304199817</c:v>
                </c:pt>
                <c:pt idx="21">
                  <c:v>7.8536953032009098</c:v>
                </c:pt>
                <c:pt idx="22">
                  <c:v>7.8578292456898717</c:v>
                </c:pt>
                <c:pt idx="23">
                  <c:v>7.8609566252536771</c:v>
                </c:pt>
                <c:pt idx="24">
                  <c:v>7.863322527285991</c:v>
                </c:pt>
                <c:pt idx="25">
                  <c:v>7.8651123619742052</c:v>
                </c:pt>
                <c:pt idx="26">
                  <c:v>7.8664663944604953</c:v>
                </c:pt>
                <c:pt idx="27">
                  <c:v>7.8674907370916909</c:v>
                </c:pt>
                <c:pt idx="28">
                  <c:v>7.8682656651947518</c:v>
                </c:pt>
                <c:pt idx="29">
                  <c:v>7.8688519080656674</c:v>
                </c:pt>
                <c:pt idx="30">
                  <c:v>7.8692954081817978</c:v>
                </c:pt>
                <c:pt idx="31">
                  <c:v>7.8696309216059523</c:v>
                </c:pt>
                <c:pt idx="32">
                  <c:v>7.8698847417374331</c:v>
                </c:pt>
                <c:pt idx="33">
                  <c:v>7.8700767598640029</c:v>
                </c:pt>
                <c:pt idx="34">
                  <c:v>7.8702220239954022</c:v>
                </c:pt>
                <c:pt idx="35">
                  <c:v>7.8703319181405442</c:v>
                </c:pt>
                <c:pt idx="36">
                  <c:v>7.8704150544455649</c:v>
                </c:pt>
                <c:pt idx="37">
                  <c:v>7.8704779481074931</c:v>
                </c:pt>
                <c:pt idx="38">
                  <c:v>7.8705255279549471</c:v>
                </c:pt>
                <c:pt idx="39">
                  <c:v>7.8705615227088588</c:v>
                </c:pt>
                <c:pt idx="40">
                  <c:v>7.870588753193581</c:v>
                </c:pt>
              </c:numCache>
            </c:numRef>
          </c:yVal>
          <c:smooth val="0"/>
          <c:extLst>
            <c:ext xmlns:c16="http://schemas.microsoft.com/office/drawing/2014/chart" uri="{C3380CC4-5D6E-409C-BE32-E72D297353CC}">
              <c16:uniqueId val="{00000001-C6C7-0545-A889-99379CEF549A}"/>
            </c:ext>
          </c:extLst>
        </c:ser>
        <c:dLbls>
          <c:showLegendKey val="0"/>
          <c:showVal val="0"/>
          <c:showCatName val="0"/>
          <c:showSerName val="0"/>
          <c:showPercent val="0"/>
          <c:showBubbleSize val="0"/>
        </c:dLbls>
        <c:axId val="373086104"/>
        <c:axId val="373085712"/>
      </c:scatterChart>
      <c:valAx>
        <c:axId val="373086104"/>
        <c:scaling>
          <c:orientation val="minMax"/>
          <c:min val="0"/>
        </c:scaling>
        <c:delete val="0"/>
        <c:axPos val="b"/>
        <c:title>
          <c:tx>
            <c:rich>
              <a:bodyPr/>
              <a:lstStyle/>
              <a:p>
                <a:pPr>
                  <a:defRPr sz="1025" b="1" i="0" u="none" strike="noStrike" baseline="0">
                    <a:solidFill>
                      <a:srgbClr val="000000"/>
                    </a:solidFill>
                    <a:latin typeface="Arial"/>
                    <a:ea typeface="Arial"/>
                    <a:cs typeface="Arial"/>
                  </a:defRPr>
                </a:pPr>
                <a:r>
                  <a:rPr lang="en-AU"/>
                  <a:t>Time since fall over structure (days)</a:t>
                </a:r>
              </a:p>
            </c:rich>
          </c:tx>
          <c:layout>
            <c:manualLayout>
              <c:xMode val="edge"/>
              <c:yMode val="edge"/>
              <c:x val="0.23050460241765555"/>
              <c:y val="0.91240304348238055"/>
            </c:manualLayout>
          </c:layout>
          <c:overlay val="0"/>
          <c:spPr>
            <a:noFill/>
            <a:ln w="25400">
              <a:noFill/>
            </a:ln>
          </c:spPr>
        </c:title>
        <c:numFmt formatCode="General" sourceLinked="0"/>
        <c:majorTickMark val="in"/>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373085712"/>
        <c:crosses val="autoZero"/>
        <c:crossBetween val="midCat"/>
      </c:valAx>
      <c:valAx>
        <c:axId val="373085712"/>
        <c:scaling>
          <c:orientation val="minMax"/>
          <c:min val="0"/>
        </c:scaling>
        <c:delete val="0"/>
        <c:axPos val="l"/>
        <c:title>
          <c:tx>
            <c:rich>
              <a:bodyPr/>
              <a:lstStyle/>
              <a:p>
                <a:pPr>
                  <a:defRPr sz="1025" b="1" i="0" u="none" strike="noStrike" baseline="0">
                    <a:solidFill>
                      <a:srgbClr val="000000"/>
                    </a:solidFill>
                    <a:latin typeface="Arial"/>
                    <a:ea typeface="Arial"/>
                    <a:cs typeface="Arial"/>
                  </a:defRPr>
                </a:pPr>
                <a:r>
                  <a:rPr lang="en-AU"/>
                  <a:t>  DO</a:t>
                </a:r>
                <a:r>
                  <a:rPr lang="en-AU" baseline="0"/>
                  <a:t> </a:t>
                </a:r>
                <a:r>
                  <a:rPr lang="en-AU"/>
                  <a:t>(mg/L)</a:t>
                </a:r>
              </a:p>
            </c:rich>
          </c:tx>
          <c:layout>
            <c:manualLayout>
              <c:xMode val="edge"/>
              <c:yMode val="edge"/>
              <c:x val="3.0448658706394096E-2"/>
              <c:y val="0.32667038158691702"/>
            </c:manualLayout>
          </c:layout>
          <c:overlay val="0"/>
          <c:spPr>
            <a:noFill/>
            <a:ln w="25400">
              <a:noFill/>
            </a:ln>
          </c:spPr>
        </c:title>
        <c:numFmt formatCode="General" sourceLinked="0"/>
        <c:majorTickMark val="in"/>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373086104"/>
        <c:crosses val="autoZero"/>
        <c:crossBetween val="midCat"/>
      </c:valAx>
      <c:spPr>
        <a:noFill/>
        <a:ln w="12700">
          <a:solidFill>
            <a:srgbClr val="808080"/>
          </a:solidFill>
          <a:prstDash val="solid"/>
        </a:ln>
      </c:spPr>
    </c:plotArea>
    <c:legend>
      <c:legendPos val="t"/>
      <c:overlay val="0"/>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49212598499999999" footer="0.49212598499999999"/>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1273027491282"/>
          <c:y val="8.8524590163934422E-2"/>
          <c:w val="0.78349241556073113"/>
          <c:h val="0.74296927395116619"/>
        </c:manualLayout>
      </c:layout>
      <c:scatterChart>
        <c:scatterStyle val="lineMarker"/>
        <c:varyColors val="0"/>
        <c:ser>
          <c:idx val="0"/>
          <c:order val="0"/>
          <c:tx>
            <c:v>Upstream DO</c:v>
          </c:tx>
          <c:spPr>
            <a:ln w="28575">
              <a:noFill/>
            </a:ln>
          </c:spPr>
          <c:marker>
            <c:symbol val="diamond"/>
            <c:size val="10"/>
            <c:spPr>
              <a:solidFill>
                <a:srgbClr val="FF0000"/>
              </a:solidFill>
              <a:ln>
                <a:solidFill>
                  <a:srgbClr val="FF0000"/>
                </a:solidFill>
              </a:ln>
            </c:spPr>
          </c:marker>
          <c:xVal>
            <c:numRef>
              <c:f>'2. Flow over structures'!$C$47:$D$47</c:f>
              <c:numCache>
                <c:formatCode>0</c:formatCode>
                <c:ptCount val="2"/>
                <c:pt idx="0">
                  <c:v>0</c:v>
                </c:pt>
              </c:numCache>
            </c:numRef>
          </c:xVal>
          <c:yVal>
            <c:numRef>
              <c:f>'2. Flow over structures'!$G$7</c:f>
              <c:numCache>
                <c:formatCode>0.0</c:formatCode>
                <c:ptCount val="1"/>
                <c:pt idx="0">
                  <c:v>1</c:v>
                </c:pt>
              </c:numCache>
            </c:numRef>
          </c:yVal>
          <c:smooth val="0"/>
          <c:extLst>
            <c:ext xmlns:c16="http://schemas.microsoft.com/office/drawing/2014/chart" uri="{C3380CC4-5D6E-409C-BE32-E72D297353CC}">
              <c16:uniqueId val="{00000000-E812-A24C-9807-8A2718CA175C}"/>
            </c:ext>
          </c:extLst>
        </c:ser>
        <c:ser>
          <c:idx val="1"/>
          <c:order val="1"/>
          <c:tx>
            <c:v>Downstream DO</c:v>
          </c:tx>
          <c:spPr>
            <a:ln w="25400">
              <a:solidFill>
                <a:srgbClr val="40743C"/>
              </a:solidFill>
            </a:ln>
          </c:spPr>
          <c:marker>
            <c:symbol val="none"/>
          </c:marker>
          <c:xVal>
            <c:numRef>
              <c:f>'2. Flow over structures'!$C$47:$C$87</c:f>
              <c:numCache>
                <c:formatCode>0</c:formatCode>
                <c:ptCount val="41"/>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numCache>
            </c:numRef>
          </c:xVal>
          <c:yVal>
            <c:numRef>
              <c:f>'2. Flow over structures'!$E$47:$E$87</c:f>
              <c:numCache>
                <c:formatCode>_(* #,##0.00_);_(* \(#,##0.00\);_(* "-"??_);_(@_)</c:formatCode>
                <c:ptCount val="41"/>
                <c:pt idx="0">
                  <c:v>1.9175004179388262</c:v>
                </c:pt>
                <c:pt idx="1">
                  <c:v>3.3670230430144077</c:v>
                </c:pt>
                <c:pt idx="2">
                  <c:v>4.4636051669890051</c:v>
                </c:pt>
                <c:pt idx="3">
                  <c:v>5.2931833562621398</c:v>
                </c:pt>
                <c:pt idx="4">
                  <c:v>5.9207697057671709</c:v>
                </c:pt>
                <c:pt idx="5">
                  <c:v>6.3955466842098554</c:v>
                </c:pt>
                <c:pt idx="6">
                  <c:v>6.7547214486656868</c:v>
                </c:pt>
                <c:pt idx="7">
                  <c:v>7.0264416821215221</c:v>
                </c:pt>
                <c:pt idx="8">
                  <c:v>7.2320014613035379</c:v>
                </c:pt>
                <c:pt idx="9">
                  <c:v>7.3875100234740749</c:v>
                </c:pt>
                <c:pt idx="10">
                  <c:v>7.5051542095331305</c:v>
                </c:pt>
                <c:pt idx="11">
                  <c:v>7.5941535181263129</c:v>
                </c:pt>
                <c:pt idx="12">
                  <c:v>7.6614826161073086</c:v>
                </c:pt>
                <c:pt idx="13">
                  <c:v>7.712417926803437</c:v>
                </c:pt>
                <c:pt idx="14">
                  <c:v>7.7509511309233492</c:v>
                </c:pt>
                <c:pt idx="15">
                  <c:v>7.78010198520212</c:v>
                </c:pt>
                <c:pt idx="16">
                  <c:v>7.8021549736465197</c:v>
                </c:pt>
                <c:pt idx="17">
                  <c:v>7.8188383371829024</c:v>
                </c:pt>
                <c:pt idx="18">
                  <c:v>7.8314595118408787</c:v>
                </c:pt>
                <c:pt idx="19">
                  <c:v>7.8410075894452387</c:v>
                </c:pt>
                <c:pt idx="20">
                  <c:v>7.8482308304199817</c:v>
                </c:pt>
                <c:pt idx="21">
                  <c:v>7.8536953032009098</c:v>
                </c:pt>
                <c:pt idx="22">
                  <c:v>7.8578292456898717</c:v>
                </c:pt>
                <c:pt idx="23">
                  <c:v>7.8609566252536771</c:v>
                </c:pt>
                <c:pt idx="24">
                  <c:v>7.863322527285991</c:v>
                </c:pt>
                <c:pt idx="25">
                  <c:v>7.8651123619742052</c:v>
                </c:pt>
                <c:pt idx="26">
                  <c:v>7.8664663944604953</c:v>
                </c:pt>
                <c:pt idx="27">
                  <c:v>7.8674907370916909</c:v>
                </c:pt>
                <c:pt idx="28">
                  <c:v>7.8682656651947518</c:v>
                </c:pt>
                <c:pt idx="29">
                  <c:v>7.8688519080656674</c:v>
                </c:pt>
                <c:pt idx="30">
                  <c:v>7.8692954081817978</c:v>
                </c:pt>
                <c:pt idx="31">
                  <c:v>7.8696309216059523</c:v>
                </c:pt>
                <c:pt idx="32">
                  <c:v>7.8698847417374331</c:v>
                </c:pt>
                <c:pt idx="33">
                  <c:v>7.8700767598640029</c:v>
                </c:pt>
                <c:pt idx="34">
                  <c:v>7.8702220239954022</c:v>
                </c:pt>
                <c:pt idx="35">
                  <c:v>7.8703319181405442</c:v>
                </c:pt>
                <c:pt idx="36">
                  <c:v>7.8704150544455649</c:v>
                </c:pt>
                <c:pt idx="37">
                  <c:v>7.8704779481074931</c:v>
                </c:pt>
                <c:pt idx="38">
                  <c:v>7.8705255279549471</c:v>
                </c:pt>
                <c:pt idx="39">
                  <c:v>7.8705615227088588</c:v>
                </c:pt>
                <c:pt idx="40">
                  <c:v>7.870588753193581</c:v>
                </c:pt>
              </c:numCache>
            </c:numRef>
          </c:yVal>
          <c:smooth val="0"/>
          <c:extLst>
            <c:ext xmlns:c16="http://schemas.microsoft.com/office/drawing/2014/chart" uri="{C3380CC4-5D6E-409C-BE32-E72D297353CC}">
              <c16:uniqueId val="{00000001-E812-A24C-9807-8A2718CA175C}"/>
            </c:ext>
          </c:extLst>
        </c:ser>
        <c:dLbls>
          <c:showLegendKey val="0"/>
          <c:showVal val="0"/>
          <c:showCatName val="0"/>
          <c:showSerName val="0"/>
          <c:showPercent val="0"/>
          <c:showBubbleSize val="0"/>
        </c:dLbls>
        <c:axId val="377418872"/>
        <c:axId val="377418480"/>
      </c:scatterChart>
      <c:valAx>
        <c:axId val="377418872"/>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en-AU"/>
                  <a:t>Downstream distance (km)</a:t>
                </a:r>
              </a:p>
            </c:rich>
          </c:tx>
          <c:layout>
            <c:manualLayout>
              <c:xMode val="edge"/>
              <c:yMode val="edge"/>
              <c:x val="0.30562197330967433"/>
              <c:y val="0.91240304348238055"/>
            </c:manualLayout>
          </c:layout>
          <c:overlay val="0"/>
          <c:spPr>
            <a:noFill/>
            <a:ln w="25400">
              <a:noFill/>
            </a:ln>
          </c:spPr>
        </c:title>
        <c:numFmt formatCode="General" sourceLinked="0"/>
        <c:majorTickMark val="in"/>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377418480"/>
        <c:crosses val="autoZero"/>
        <c:crossBetween val="midCat"/>
      </c:valAx>
      <c:valAx>
        <c:axId val="377418480"/>
        <c:scaling>
          <c:orientation val="minMax"/>
          <c:min val="0"/>
        </c:scaling>
        <c:delete val="0"/>
        <c:axPos val="l"/>
        <c:title>
          <c:tx>
            <c:rich>
              <a:bodyPr/>
              <a:lstStyle/>
              <a:p>
                <a:pPr>
                  <a:defRPr sz="1025" b="1" i="0" u="none" strike="noStrike" baseline="0">
                    <a:solidFill>
                      <a:srgbClr val="000000"/>
                    </a:solidFill>
                    <a:latin typeface="Arial"/>
                    <a:ea typeface="Arial"/>
                    <a:cs typeface="Arial"/>
                  </a:defRPr>
                </a:pPr>
                <a:r>
                  <a:rPr lang="en-AU"/>
                  <a:t>  DO</a:t>
                </a:r>
                <a:r>
                  <a:rPr lang="en-AU" baseline="0"/>
                  <a:t> </a:t>
                </a:r>
                <a:r>
                  <a:rPr lang="en-AU"/>
                  <a:t>(mg/L)</a:t>
                </a:r>
              </a:p>
            </c:rich>
          </c:tx>
          <c:layout>
            <c:manualLayout>
              <c:xMode val="edge"/>
              <c:yMode val="edge"/>
              <c:x val="3.0448658706394096E-2"/>
              <c:y val="0.32667038158691702"/>
            </c:manualLayout>
          </c:layout>
          <c:overlay val="0"/>
          <c:spPr>
            <a:noFill/>
            <a:ln w="25400">
              <a:noFill/>
            </a:ln>
          </c:spPr>
        </c:title>
        <c:numFmt formatCode="General" sourceLinked="0"/>
        <c:majorTickMark val="in"/>
        <c:minorTickMark val="in"/>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377418872"/>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49212598499999999" footer="0.49212598499999999"/>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DO</c:v>
          </c:tx>
          <c:spPr>
            <a:ln>
              <a:solidFill>
                <a:srgbClr val="40743C"/>
              </a:solidFill>
            </a:ln>
          </c:spPr>
          <c:marker>
            <c:symbol val="none"/>
          </c:marker>
          <c:xVal>
            <c:numRef>
              <c:f>'3. Lake wind reaeration'!$A$28:$A$128</c:f>
              <c:numCache>
                <c:formatCode>0</c:formatCode>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numCache>
            </c:numRef>
          </c:xVal>
          <c:yVal>
            <c:numRef>
              <c:f>'3. Lake wind reaeration'!$B$28:$B$128</c:f>
              <c:numCache>
                <c:formatCode>0.00</c:formatCode>
                <c:ptCount val="101"/>
                <c:pt idx="0">
                  <c:v>4.9333333333333336</c:v>
                </c:pt>
                <c:pt idx="1">
                  <c:v>6.2464659925768711</c:v>
                </c:pt>
                <c:pt idx="2">
                  <c:v>7.200195642039299</c:v>
                </c:pt>
                <c:pt idx="3">
                  <c:v>7.8900407832051513</c:v>
                </c:pt>
                <c:pt idx="4">
                  <c:v>8.3862125364480793</c:v>
                </c:pt>
                <c:pt idx="5">
                  <c:v>8.7403175361152545</c:v>
                </c:pt>
                <c:pt idx="6">
                  <c:v>8.9902855650734423</c:v>
                </c:pt>
                <c:pt idx="7">
                  <c:v>9.163992104336435</c:v>
                </c:pt>
                <c:pt idx="8">
                  <c:v>9.2819214479972967</c:v>
                </c:pt>
                <c:pt idx="9">
                  <c:v>9.3591244886791944</c:v>
                </c:pt>
                <c:pt idx="10">
                  <c:v>9.4066579792834393</c:v>
                </c:pt>
                <c:pt idx="11">
                  <c:v>9.4326426015447407</c:v>
                </c:pt>
                <c:pt idx="12">
                  <c:v>9.443040800094515</c:v>
                </c:pt>
                <c:pt idx="13">
                  <c:v>9.4422286019495232</c:v>
                </c:pt>
                <c:pt idx="14">
                  <c:v>9.4334159842911554</c:v>
                </c:pt>
                <c:pt idx="15">
                  <c:v>9.5462390903645638</c:v>
                </c:pt>
                <c:pt idx="16">
                  <c:v>9.6337073086020357</c:v>
                </c:pt>
                <c:pt idx="17">
                  <c:v>9.7022316513959961</c:v>
                </c:pt>
                <c:pt idx="18">
                  <c:v>9.7565896765585727</c:v>
                </c:pt>
                <c:pt idx="19">
                  <c:v>9.8003418657430714</c:v>
                </c:pt>
                <c:pt idx="20">
                  <c:v>9.8361418622837711</c:v>
                </c:pt>
                <c:pt idx="21">
                  <c:v>9.865967625192356</c:v>
                </c:pt>
                <c:pt idx="22">
                  <c:v>9.891293658902601</c:v>
                </c:pt>
                <c:pt idx="23">
                  <c:v>9.913219339388851</c:v>
                </c:pt>
                <c:pt idx="24">
                  <c:v>9.9325645283131667</c:v>
                </c:pt>
                <c:pt idx="25">
                  <c:v>9.9499408139443215</c:v>
                </c:pt>
                <c:pt idx="26">
                  <c:v>9.9658045919278599</c:v>
                </c:pt>
                <c:pt idx="27">
                  <c:v>9.9804966151843679</c:v>
                </c:pt>
                <c:pt idx="28">
                  <c:v>9.9942714621446544</c:v>
                </c:pt>
                <c:pt idx="29">
                  <c:v>10.007319493278333</c:v>
                </c:pt>
                <c:pt idx="30">
                  <c:v>10.019783210753944</c:v>
                </c:pt>
                <c:pt idx="31">
                  <c:v>10.031769447949339</c:v>
                </c:pt>
                <c:pt idx="32">
                  <c:v>10.043358451840252</c:v>
                </c:pt>
                <c:pt idx="33">
                  <c:v>10.054610650314116</c:v>
                </c:pt>
                <c:pt idx="34">
                  <c:v>10.065571694552142</c:v>
                </c:pt>
                <c:pt idx="35">
                  <c:v>10.07627621618693</c:v>
                </c:pt>
                <c:pt idx="36">
                  <c:v>10.086750626855247</c:v>
                </c:pt>
                <c:pt idx="37">
                  <c:v>10.097015204250791</c:v>
                </c:pt>
                <c:pt idx="38">
                  <c:v>10.107085646555957</c:v>
                </c:pt>
                <c:pt idx="39">
                  <c:v>10.116974230768163</c:v>
                </c:pt>
                <c:pt idx="40">
                  <c:v>10.126690675891462</c:v>
                </c:pt>
                <c:pt idx="41">
                  <c:v>10.136242786225321</c:v>
                </c:pt>
                <c:pt idx="42">
                  <c:v>10.14563693080483</c:v>
                </c:pt>
                <c:pt idx="43">
                  <c:v>10.1548784007576</c:v>
                </c:pt>
                <c:pt idx="44">
                  <c:v>10.16397167569605</c:v>
                </c:pt>
                <c:pt idx="45">
                  <c:v>10.172920622331288</c:v>
                </c:pt>
                <c:pt idx="46">
                  <c:v>10.181728642584252</c:v>
                </c:pt>
                <c:pt idx="47">
                  <c:v>10.190398784066044</c:v>
                </c:pt>
                <c:pt idx="48">
                  <c:v>10.198933822518171</c:v>
                </c:pt>
                <c:pt idx="49">
                  <c:v>10.207336323358605</c:v>
                </c:pt>
                <c:pt idx="50">
                  <c:v>10.215608687658046</c:v>
                </c:pt>
                <c:pt idx="51">
                  <c:v>10.223753186513505</c:v>
                </c:pt>
                <c:pt idx="52">
                  <c:v>10.231771986775113</c:v>
                </c:pt>
                <c:pt idx="53">
                  <c:v>10.239667170328532</c:v>
                </c:pt>
                <c:pt idx="54">
                  <c:v>10.24744074857403</c:v>
                </c:pt>
                <c:pt idx="55">
                  <c:v>10.255094673324903</c:v>
                </c:pt>
                <c:pt idx="56">
                  <c:v>10.262630845036336</c:v>
                </c:pt>
                <c:pt idx="57">
                  <c:v>10.270051119043528</c:v>
                </c:pt>
                <c:pt idx="58">
                  <c:v>10.277357310314907</c:v>
                </c:pt>
                <c:pt idx="59">
                  <c:v>10.284551197097352</c:v>
                </c:pt>
                <c:pt idx="60">
                  <c:v>10.291634523734261</c:v>
                </c:pt>
                <c:pt idx="61">
                  <c:v>10.298609002865756</c:v>
                </c:pt>
                <c:pt idx="62">
                  <c:v>10.30547631716699</c:v>
                </c:pt>
                <c:pt idx="63">
                  <c:v>10.312238120740762</c:v>
                </c:pt>
                <c:pt idx="64">
                  <c:v>10.318896040251083</c:v>
                </c:pt>
                <c:pt idx="65">
                  <c:v>10.325451675862251</c:v>
                </c:pt>
                <c:pt idx="66">
                  <c:v>10.33190660203155</c:v>
                </c:pt>
                <c:pt idx="67">
                  <c:v>10.338262368191474</c:v>
                </c:pt>
                <c:pt idx="68">
                  <c:v>10.344520499348222</c:v>
                </c:pt>
                <c:pt idx="69">
                  <c:v>10.350682496616425</c:v>
                </c:pt>
                <c:pt idx="70">
                  <c:v>10.35674983770499</c:v>
                </c:pt>
                <c:pt idx="71">
                  <c:v>10.36272397736519</c:v>
                </c:pt>
                <c:pt idx="72">
                  <c:v>10.368606347809294</c:v>
                </c:pt>
                <c:pt idx="73">
                  <c:v>10.374398359105948</c:v>
                </c:pt>
                <c:pt idx="74">
                  <c:v>10.380101399556947</c:v>
                </c:pt>
                <c:pt idx="75">
                  <c:v>10.385716836058887</c:v>
                </c:pt>
                <c:pt idx="76">
                  <c:v>10.391246014452296</c:v>
                </c:pt>
                <c:pt idx="77">
                  <c:v>10.396690259860232</c:v>
                </c:pt>
                <c:pt idx="78">
                  <c:v>10.4020508770178</c:v>
                </c:pt>
                <c:pt idx="79">
                  <c:v>10.407329150593746</c:v>
                </c:pt>
                <c:pt idx="80">
                  <c:v>10.412526345504956</c:v>
                </c:pt>
                <c:pt idx="81">
                  <c:v>10.41764370722453</c:v>
                </c:pt>
                <c:pt idx="82">
                  <c:v>10.422682462083937</c:v>
                </c:pt>
                <c:pt idx="83">
                  <c:v>10.427643817569635</c:v>
                </c:pt>
                <c:pt idx="84">
                  <c:v>10.432528962614473</c:v>
                </c:pt>
                <c:pt idx="85">
                  <c:v>10.437339067884139</c:v>
                </c:pt>
                <c:pt idx="86">
                  <c:v>10.442075286058822</c:v>
                </c:pt>
                <c:pt idx="87">
                  <c:v>10.446738752110285</c:v>
                </c:pt>
                <c:pt idx="88">
                  <c:v>10.451330583574476</c:v>
                </c:pt>
                <c:pt idx="89">
                  <c:v>10.4558518808198</c:v>
                </c:pt>
                <c:pt idx="90">
                  <c:v>10.460303727311157</c:v>
                </c:pt>
                <c:pt idx="91">
                  <c:v>10.464687189869837</c:v>
                </c:pt>
                <c:pt idx="92">
                  <c:v>10.469003318929365</c:v>
                </c:pt>
                <c:pt idx="93">
                  <c:v>10.47325314878737</c:v>
                </c:pt>
                <c:pt idx="94">
                  <c:v>10.477437697853537</c:v>
                </c:pt>
                <c:pt idx="95">
                  <c:v>10.481557968893746</c:v>
                </c:pt>
                <c:pt idx="96">
                  <c:v>10.485614949270426</c:v>
                </c:pt>
                <c:pt idx="97">
                  <c:v>10.489609611179201</c:v>
                </c:pt>
                <c:pt idx="98">
                  <c:v>10.493542911881903</c:v>
                </c:pt>
                <c:pt idx="99">
                  <c:v>10.497415793935986</c:v>
                </c:pt>
                <c:pt idx="100">
                  <c:v>10.501229185420415</c:v>
                </c:pt>
              </c:numCache>
            </c:numRef>
          </c:yVal>
          <c:smooth val="0"/>
          <c:extLst>
            <c:ext xmlns:c16="http://schemas.microsoft.com/office/drawing/2014/chart" uri="{C3380CC4-5D6E-409C-BE32-E72D297353CC}">
              <c16:uniqueId val="{00000000-541C-604E-A4F8-9DC5D17E6E09}"/>
            </c:ext>
          </c:extLst>
        </c:ser>
        <c:ser>
          <c:idx val="1"/>
          <c:order val="1"/>
          <c:tx>
            <c:v>Blackwater DO</c:v>
          </c:tx>
          <c:spPr>
            <a:ln>
              <a:noFill/>
            </a:ln>
          </c:spPr>
          <c:marker>
            <c:symbol val="diamond"/>
            <c:size val="10"/>
            <c:spPr>
              <a:solidFill>
                <a:srgbClr val="FF0000"/>
              </a:solidFill>
              <a:ln>
                <a:solidFill>
                  <a:srgbClr val="FF0000"/>
                </a:solidFill>
              </a:ln>
            </c:spPr>
          </c:marker>
          <c:xVal>
            <c:numRef>
              <c:f>'3. Lake wind reaeration'!$A$28</c:f>
              <c:numCache>
                <c:formatCode>0</c:formatCode>
                <c:ptCount val="1"/>
                <c:pt idx="0">
                  <c:v>0</c:v>
                </c:pt>
              </c:numCache>
            </c:numRef>
          </c:xVal>
          <c:yVal>
            <c:numRef>
              <c:f>'3. Lake wind reaeration'!$F$7</c:f>
              <c:numCache>
                <c:formatCode>0.0</c:formatCode>
                <c:ptCount val="1"/>
                <c:pt idx="0">
                  <c:v>0</c:v>
                </c:pt>
              </c:numCache>
            </c:numRef>
          </c:yVal>
          <c:smooth val="0"/>
          <c:extLst>
            <c:ext xmlns:c16="http://schemas.microsoft.com/office/drawing/2014/chart" uri="{C3380CC4-5D6E-409C-BE32-E72D297353CC}">
              <c16:uniqueId val="{00000001-541C-604E-A4F8-9DC5D17E6E09}"/>
            </c:ext>
          </c:extLst>
        </c:ser>
        <c:ser>
          <c:idx val="2"/>
          <c:order val="2"/>
          <c:tx>
            <c:v>Initial Lake DO</c:v>
          </c:tx>
          <c:spPr>
            <a:ln>
              <a:noFill/>
            </a:ln>
          </c:spPr>
          <c:marker>
            <c:symbol val="triangle"/>
            <c:size val="10"/>
            <c:spPr>
              <a:solidFill>
                <a:srgbClr val="0070C0"/>
              </a:solidFill>
              <a:ln>
                <a:solidFill>
                  <a:srgbClr val="0070C0"/>
                </a:solidFill>
              </a:ln>
            </c:spPr>
          </c:marker>
          <c:xVal>
            <c:numRef>
              <c:f>'3. Lake wind reaeration'!$A$28</c:f>
              <c:numCache>
                <c:formatCode>0</c:formatCode>
                <c:ptCount val="1"/>
                <c:pt idx="0">
                  <c:v>0</c:v>
                </c:pt>
              </c:numCache>
            </c:numRef>
          </c:xVal>
          <c:yVal>
            <c:numRef>
              <c:f>'3. Lake wind reaeration'!$F$14</c:f>
              <c:numCache>
                <c:formatCode>0.0</c:formatCode>
                <c:ptCount val="1"/>
                <c:pt idx="0">
                  <c:v>5</c:v>
                </c:pt>
              </c:numCache>
            </c:numRef>
          </c:yVal>
          <c:smooth val="0"/>
          <c:extLst>
            <c:ext xmlns:c16="http://schemas.microsoft.com/office/drawing/2014/chart" uri="{C3380CC4-5D6E-409C-BE32-E72D297353CC}">
              <c16:uniqueId val="{00000002-541C-604E-A4F8-9DC5D17E6E09}"/>
            </c:ext>
          </c:extLst>
        </c:ser>
        <c:dLbls>
          <c:showLegendKey val="0"/>
          <c:showVal val="0"/>
          <c:showCatName val="0"/>
          <c:showSerName val="0"/>
          <c:showPercent val="0"/>
          <c:showBubbleSize val="0"/>
        </c:dLbls>
        <c:axId val="373341336"/>
        <c:axId val="374807680"/>
      </c:scatterChart>
      <c:valAx>
        <c:axId val="373341336"/>
        <c:scaling>
          <c:orientation val="minMax"/>
        </c:scaling>
        <c:delete val="0"/>
        <c:axPos val="b"/>
        <c:title>
          <c:tx>
            <c:rich>
              <a:bodyPr/>
              <a:lstStyle/>
              <a:p>
                <a:pPr>
                  <a:defRPr/>
                </a:pPr>
                <a:r>
                  <a:rPr lang="en-AU"/>
                  <a:t>Time</a:t>
                </a:r>
                <a:r>
                  <a:rPr lang="en-AU" baseline="0"/>
                  <a:t> since commencement of inflows (days)</a:t>
                </a:r>
                <a:endParaRPr lang="en-AU"/>
              </a:p>
            </c:rich>
          </c:tx>
          <c:overlay val="0"/>
        </c:title>
        <c:numFmt formatCode="0" sourceLinked="1"/>
        <c:majorTickMark val="out"/>
        <c:minorTickMark val="none"/>
        <c:tickLblPos val="nextTo"/>
        <c:crossAx val="374807680"/>
        <c:crosses val="autoZero"/>
        <c:crossBetween val="midCat"/>
      </c:valAx>
      <c:valAx>
        <c:axId val="374807680"/>
        <c:scaling>
          <c:orientation val="minMax"/>
        </c:scaling>
        <c:delete val="0"/>
        <c:axPos val="l"/>
        <c:title>
          <c:tx>
            <c:rich>
              <a:bodyPr rot="-5400000" vert="horz"/>
              <a:lstStyle/>
              <a:p>
                <a:pPr>
                  <a:defRPr/>
                </a:pPr>
                <a:r>
                  <a:rPr lang="en-AU"/>
                  <a:t>DO (mg/L)</a:t>
                </a:r>
              </a:p>
            </c:rich>
          </c:tx>
          <c:overlay val="0"/>
        </c:title>
        <c:numFmt formatCode="0.00" sourceLinked="1"/>
        <c:majorTickMark val="out"/>
        <c:minorTickMark val="none"/>
        <c:tickLblPos val="nextTo"/>
        <c:crossAx val="373341336"/>
        <c:crosses val="autoZero"/>
        <c:crossBetween val="midCat"/>
      </c:valAx>
    </c:plotArea>
    <c:legend>
      <c:legendPos val="t"/>
      <c:layout>
        <c:manualLayout>
          <c:xMode val="edge"/>
          <c:yMode val="edge"/>
          <c:x val="0.20548580076139131"/>
          <c:y val="3.0303030303030304E-2"/>
          <c:w val="0.73317254262136156"/>
          <c:h val="7.8281010328254422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15</xdr:col>
      <xdr:colOff>152400</xdr:colOff>
      <xdr:row>18</xdr:row>
      <xdr:rowOff>38101</xdr:rowOff>
    </xdr:from>
    <xdr:to>
      <xdr:col>21</xdr:col>
      <xdr:colOff>333375</xdr:colOff>
      <xdr:row>32</xdr:row>
      <xdr:rowOff>38100</xdr:rowOff>
    </xdr:to>
    <xdr:graphicFrame macro="">
      <xdr:nvGraphicFramePr>
        <xdr:cNvPr id="6" name="Chart 6">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152400</xdr:colOff>
      <xdr:row>4</xdr:row>
      <xdr:rowOff>9524</xdr:rowOff>
    </xdr:from>
    <xdr:to>
      <xdr:col>21</xdr:col>
      <xdr:colOff>333375</xdr:colOff>
      <xdr:row>17</xdr:row>
      <xdr:rowOff>123824</xdr:rowOff>
    </xdr:to>
    <xdr:graphicFrame macro="">
      <xdr:nvGraphicFramePr>
        <xdr:cNvPr id="5" name="Chart 6">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15</xdr:col>
      <xdr:colOff>85725</xdr:colOff>
      <xdr:row>4</xdr:row>
      <xdr:rowOff>0</xdr:rowOff>
    </xdr:from>
    <xdr:to>
      <xdr:col>21</xdr:col>
      <xdr:colOff>485775</xdr:colOff>
      <xdr:row>19</xdr:row>
      <xdr:rowOff>0</xdr:rowOff>
    </xdr:to>
    <xdr:graphicFrame macro="">
      <xdr:nvGraphicFramePr>
        <xdr:cNvPr id="4" name="Chart 6">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85725</xdr:colOff>
      <xdr:row>19</xdr:row>
      <xdr:rowOff>76200</xdr:rowOff>
    </xdr:from>
    <xdr:to>
      <xdr:col>21</xdr:col>
      <xdr:colOff>485775</xdr:colOff>
      <xdr:row>35</xdr:row>
      <xdr:rowOff>123825</xdr:rowOff>
    </xdr:to>
    <xdr:graphicFrame macro="">
      <xdr:nvGraphicFramePr>
        <xdr:cNvPr id="5" name="Chart 6">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76200</xdr:colOff>
      <xdr:row>4</xdr:row>
      <xdr:rowOff>52387</xdr:rowOff>
    </xdr:from>
    <xdr:to>
      <xdr:col>20</xdr:col>
      <xdr:colOff>285750</xdr:colOff>
      <xdr:row>17</xdr:row>
      <xdr:rowOff>109537</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47625</xdr:colOff>
      <xdr:row>39</xdr:row>
      <xdr:rowOff>19050</xdr:rowOff>
    </xdr:from>
    <xdr:to>
      <xdr:col>15</xdr:col>
      <xdr:colOff>266700</xdr:colOff>
      <xdr:row>42</xdr:row>
      <xdr:rowOff>47625</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19700" y="8429625"/>
          <a:ext cx="4514850" cy="533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0</xdr:colOff>
      <xdr:row>57</xdr:row>
      <xdr:rowOff>0</xdr:rowOff>
    </xdr:from>
    <xdr:to>
      <xdr:col>30</xdr:col>
      <xdr:colOff>904875</xdr:colOff>
      <xdr:row>60</xdr:row>
      <xdr:rowOff>47625</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610225" y="10753725"/>
          <a:ext cx="4238625"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40</xdr:col>
          <xdr:colOff>0</xdr:colOff>
          <xdr:row>42</xdr:row>
          <xdr:rowOff>190500</xdr:rowOff>
        </xdr:from>
        <xdr:to>
          <xdr:col>45</xdr:col>
          <xdr:colOff>177800</xdr:colOff>
          <xdr:row>46</xdr:row>
          <xdr:rowOff>63500</xdr:rowOff>
        </xdr:to>
        <xdr:sp macro="" textlink="">
          <xdr:nvSpPr>
            <xdr:cNvPr id="4280" name="Object 184" hidden="1">
              <a:extLst>
                <a:ext uri="{63B3BB69-23CF-44E3-9099-C40C66FF867C}">
                  <a14:compatExt spid="_x0000_s4280"/>
                </a:ext>
                <a:ext uri="{FF2B5EF4-FFF2-40B4-BE49-F238E27FC236}">
                  <a16:creationId xmlns:a16="http://schemas.microsoft.com/office/drawing/2014/main" id="{00000000-0008-0000-0500-0000B8100000}"/>
                </a:ext>
              </a:extLst>
            </xdr:cNvPr>
            <xdr:cNvSpPr/>
          </xdr:nvSpPr>
          <xdr:spPr bwMode="auto">
            <a:xfrm>
              <a:off x="0" y="0"/>
              <a:ext cx="0" cy="0"/>
            </a:xfrm>
            <a:prstGeom prst="rect">
              <a:avLst/>
            </a:prstGeom>
            <a:noFill/>
            <a:extLst>
              <a:ext uri="{909E8E84-426E-40DD-AFC4-6F175D3DCCD1}">
                <a14:hiddenFill>
                  <a:solidFill>
                    <a:srgbClr val="FFFF00"/>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4.xml"/><Relationship Id="rId4" Type="http://schemas.openxmlformats.org/officeDocument/2006/relationships/image" Target="../media/image1.emf"/></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8"/>
  <sheetViews>
    <sheetView workbookViewId="0"/>
  </sheetViews>
  <sheetFormatPr baseColWidth="10" defaultColWidth="8.83203125" defaultRowHeight="15"/>
  <cols>
    <col min="1" max="1" width="70.33203125" customWidth="1"/>
  </cols>
  <sheetData>
    <row r="1" spans="1:1" ht="19">
      <c r="A1" s="1" t="s">
        <v>0</v>
      </c>
    </row>
    <row r="2" spans="1:1" ht="64">
      <c r="A2" s="40" t="s">
        <v>207</v>
      </c>
    </row>
    <row r="3" spans="1:1" ht="16">
      <c r="A3" s="40" t="s">
        <v>201</v>
      </c>
    </row>
    <row r="4" spans="1:1" ht="16">
      <c r="A4" s="40" t="s">
        <v>202</v>
      </c>
    </row>
    <row r="5" spans="1:1" ht="16">
      <c r="A5" s="40" t="s">
        <v>203</v>
      </c>
    </row>
    <row r="6" spans="1:1" ht="72.75" customHeight="1">
      <c r="A6" s="40" t="s">
        <v>204</v>
      </c>
    </row>
    <row r="7" spans="1:1" ht="98.25" customHeight="1">
      <c r="A7" s="40" t="s">
        <v>228</v>
      </c>
    </row>
    <row r="8" spans="1:1" ht="51" customHeight="1">
      <c r="A8" s="103" t="s">
        <v>205</v>
      </c>
    </row>
    <row r="9" spans="1:1">
      <c r="A9" s="102"/>
    </row>
    <row r="15" spans="1:1" ht="15" customHeight="1"/>
    <row r="18" ht="15" customHeight="1"/>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tabSelected="1" workbookViewId="0">
      <selection activeCell="D6" sqref="D6:D7"/>
    </sheetView>
  </sheetViews>
  <sheetFormatPr baseColWidth="10" defaultColWidth="8.83203125" defaultRowHeight="15"/>
  <cols>
    <col min="1" max="1" width="65" customWidth="1"/>
  </cols>
  <sheetData>
    <row r="1" spans="1:1" ht="20">
      <c r="A1" s="3" t="s">
        <v>1</v>
      </c>
    </row>
    <row r="2" spans="1:1" ht="145.5" customHeight="1">
      <c r="A2" s="23" t="s">
        <v>3</v>
      </c>
    </row>
    <row r="3" spans="1:1">
      <c r="A3" s="39" t="s">
        <v>2</v>
      </c>
    </row>
    <row r="4" spans="1:1" ht="65.25" customHeight="1">
      <c r="A4" s="23" t="s">
        <v>206</v>
      </c>
    </row>
    <row r="5" spans="1:1">
      <c r="A5" s="39" t="s">
        <v>93</v>
      </c>
    </row>
    <row r="6" spans="1:1" ht="64">
      <c r="A6" s="105" t="s">
        <v>244</v>
      </c>
    </row>
    <row r="7" spans="1:1" ht="33" customHeight="1">
      <c r="A7" s="2" t="s">
        <v>92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1"/>
  <dimension ref="A1:AC70"/>
  <sheetViews>
    <sheetView showGridLines="0" topLeftCell="A3" zoomScaleNormal="100" workbookViewId="0">
      <selection activeCell="G9" sqref="G9"/>
    </sheetView>
  </sheetViews>
  <sheetFormatPr baseColWidth="10" defaultColWidth="9.1640625" defaultRowHeight="13"/>
  <cols>
    <col min="1" max="4" width="9.1640625" style="6"/>
    <col min="5" max="5" width="4.5" style="6" customWidth="1"/>
    <col min="6" max="6" width="12.5" style="6" customWidth="1"/>
    <col min="7" max="7" width="10.5" style="6" customWidth="1"/>
    <col min="8" max="8" width="8.6640625" style="6" customWidth="1"/>
    <col min="9" max="9" width="4.83203125" style="6" customWidth="1"/>
    <col min="10" max="11" width="5.5" style="6" customWidth="1"/>
    <col min="12" max="12" width="5.33203125" style="6" customWidth="1"/>
    <col min="13" max="14" width="4.6640625" style="6" customWidth="1"/>
    <col min="15" max="15" width="4.33203125" style="6" customWidth="1"/>
    <col min="16" max="19" width="9.1640625" style="6"/>
    <col min="20" max="20" width="12.5" style="6" customWidth="1"/>
    <col min="21" max="23" width="9.1640625" style="6"/>
    <col min="24" max="24" width="7.33203125" style="6" customWidth="1"/>
    <col min="25" max="25" width="7" style="6" customWidth="1"/>
    <col min="26" max="16384" width="9.1640625" style="6"/>
  </cols>
  <sheetData>
    <row r="1" spans="1:17" ht="26.25" customHeight="1">
      <c r="A1" s="184" t="s">
        <v>53</v>
      </c>
      <c r="B1" s="184"/>
      <c r="C1" s="184"/>
      <c r="D1" s="184"/>
      <c r="E1" s="184"/>
      <c r="F1" s="184"/>
      <c r="G1" s="184"/>
      <c r="H1" s="184"/>
      <c r="I1" s="184"/>
      <c r="J1" s="184"/>
      <c r="K1" s="184"/>
      <c r="L1" s="184"/>
      <c r="M1" s="184"/>
      <c r="N1" s="184"/>
      <c r="O1" s="184"/>
      <c r="Q1" s="104"/>
    </row>
    <row r="2" spans="1:17" ht="56.25" customHeight="1">
      <c r="A2" s="185" t="s">
        <v>210</v>
      </c>
      <c r="B2" s="185"/>
      <c r="C2" s="185"/>
      <c r="D2" s="185"/>
      <c r="E2" s="185"/>
      <c r="F2" s="185"/>
      <c r="G2" s="185"/>
      <c r="H2" s="185"/>
      <c r="I2" s="185"/>
      <c r="J2" s="185"/>
      <c r="K2" s="185"/>
      <c r="L2" s="185"/>
      <c r="M2" s="185"/>
      <c r="N2" s="185"/>
      <c r="O2" s="185"/>
    </row>
    <row r="3" spans="1:17" ht="27" customHeight="1">
      <c r="A3" s="186" t="s">
        <v>84</v>
      </c>
      <c r="B3" s="186"/>
      <c r="C3" s="186"/>
      <c r="D3" s="186"/>
      <c r="E3" s="186"/>
      <c r="F3" s="186"/>
      <c r="G3" s="186"/>
      <c r="H3" s="186"/>
      <c r="I3" s="186"/>
      <c r="J3" s="186"/>
      <c r="K3" s="186"/>
      <c r="L3" s="186"/>
      <c r="M3" s="186"/>
      <c r="N3" s="186"/>
      <c r="O3" s="186"/>
    </row>
    <row r="4" spans="1:17">
      <c r="A4" s="177"/>
      <c r="B4" s="177"/>
      <c r="C4" s="177"/>
      <c r="D4" s="177"/>
      <c r="E4" s="177"/>
      <c r="F4" s="177"/>
      <c r="G4" s="177"/>
      <c r="H4" s="177"/>
      <c r="I4" s="177"/>
      <c r="J4" s="177"/>
      <c r="K4" s="177"/>
      <c r="L4" s="177"/>
      <c r="M4" s="177"/>
      <c r="N4" s="177"/>
      <c r="O4" s="177"/>
    </row>
    <row r="5" spans="1:17" ht="15.75" customHeight="1">
      <c r="A5" s="188" t="s">
        <v>16</v>
      </c>
      <c r="B5" s="188"/>
      <c r="C5" s="188"/>
      <c r="D5" s="188"/>
      <c r="E5" s="188"/>
      <c r="F5" s="188"/>
      <c r="G5" s="188"/>
      <c r="H5" s="188"/>
      <c r="J5" s="187" t="s">
        <v>51</v>
      </c>
      <c r="K5" s="187"/>
      <c r="L5" s="187"/>
      <c r="M5" s="187"/>
      <c r="N5" s="187"/>
      <c r="O5" s="187"/>
    </row>
    <row r="6" spans="1:17" s="7" customFormat="1" ht="15.75" customHeight="1">
      <c r="A6" s="171" t="s">
        <v>18</v>
      </c>
      <c r="B6" s="171"/>
      <c r="C6" s="171"/>
      <c r="D6" s="171"/>
      <c r="E6" s="171"/>
      <c r="F6" s="11" t="s">
        <v>55</v>
      </c>
      <c r="G6" s="145">
        <v>40</v>
      </c>
      <c r="H6" s="10" t="s">
        <v>44</v>
      </c>
      <c r="J6" s="191"/>
      <c r="K6" s="191"/>
      <c r="L6" s="191"/>
      <c r="M6" s="191"/>
      <c r="N6" s="191"/>
      <c r="O6" s="191"/>
    </row>
    <row r="7" spans="1:17" s="7" customFormat="1" ht="15.75" customHeight="1">
      <c r="A7" s="171" t="s">
        <v>59</v>
      </c>
      <c r="B7" s="171"/>
      <c r="C7" s="171"/>
      <c r="D7" s="171"/>
      <c r="E7" s="171"/>
      <c r="F7" s="11" t="s">
        <v>56</v>
      </c>
      <c r="G7" s="146">
        <v>0</v>
      </c>
      <c r="H7" s="10" t="s">
        <v>29</v>
      </c>
      <c r="J7" s="192"/>
      <c r="K7" s="192"/>
      <c r="L7" s="192"/>
      <c r="M7" s="192"/>
      <c r="N7" s="192"/>
      <c r="O7" s="192"/>
    </row>
    <row r="8" spans="1:17" s="7" customFormat="1" ht="15.75" customHeight="1">
      <c r="A8" s="171" t="s">
        <v>60</v>
      </c>
      <c r="B8" s="171"/>
      <c r="C8" s="171"/>
      <c r="D8" s="171"/>
      <c r="E8" s="171"/>
      <c r="F8" s="11" t="s">
        <v>57</v>
      </c>
      <c r="G8" s="146">
        <v>30</v>
      </c>
      <c r="H8" s="10" t="s">
        <v>29</v>
      </c>
      <c r="J8" s="190" t="s">
        <v>226</v>
      </c>
      <c r="K8" s="190"/>
      <c r="L8" s="190"/>
      <c r="M8" s="190"/>
      <c r="N8" s="190"/>
      <c r="O8" s="190"/>
    </row>
    <row r="9" spans="1:17" s="7" customFormat="1" ht="15.75" customHeight="1">
      <c r="A9" s="171" t="s">
        <v>25</v>
      </c>
      <c r="B9" s="171"/>
      <c r="C9" s="171"/>
      <c r="D9" s="171"/>
      <c r="E9" s="171"/>
      <c r="F9" s="11" t="s">
        <v>58</v>
      </c>
      <c r="G9" s="146">
        <v>12</v>
      </c>
      <c r="H9" s="27" t="s">
        <v>7</v>
      </c>
      <c r="J9" s="190"/>
      <c r="K9" s="190"/>
      <c r="L9" s="190"/>
      <c r="M9" s="190"/>
      <c r="N9" s="190"/>
      <c r="O9" s="190"/>
    </row>
    <row r="10" spans="1:17" s="20" customFormat="1">
      <c r="F10" s="21"/>
      <c r="G10" s="22"/>
      <c r="H10" s="28"/>
    </row>
    <row r="11" spans="1:17" s="7" customFormat="1" ht="15.75" customHeight="1">
      <c r="A11" s="183" t="s">
        <v>45</v>
      </c>
      <c r="B11" s="183"/>
      <c r="C11" s="183"/>
      <c r="D11" s="183"/>
      <c r="E11" s="183"/>
      <c r="F11" s="183"/>
      <c r="G11" s="183"/>
      <c r="H11" s="183"/>
      <c r="J11" s="192"/>
      <c r="K11" s="192"/>
      <c r="L11" s="192"/>
      <c r="M11" s="192"/>
      <c r="N11" s="192"/>
      <c r="O11" s="192"/>
    </row>
    <row r="12" spans="1:17" s="7" customFormat="1" ht="15.75" customHeight="1">
      <c r="A12" s="172" t="s">
        <v>17</v>
      </c>
      <c r="B12" s="172"/>
      <c r="C12" s="172"/>
      <c r="D12" s="172"/>
      <c r="E12" s="172"/>
      <c r="F12" s="34" t="s">
        <v>61</v>
      </c>
      <c r="G12" s="145">
        <v>0</v>
      </c>
      <c r="H12" s="32" t="s">
        <v>44</v>
      </c>
      <c r="J12" s="191"/>
      <c r="K12" s="191"/>
      <c r="L12" s="191"/>
      <c r="M12" s="191"/>
      <c r="N12" s="191"/>
      <c r="O12" s="191"/>
    </row>
    <row r="13" spans="1:17" s="7" customFormat="1" ht="15.75" customHeight="1">
      <c r="A13" s="172" t="s">
        <v>15</v>
      </c>
      <c r="B13" s="172"/>
      <c r="C13" s="172"/>
      <c r="D13" s="172"/>
      <c r="E13" s="172"/>
      <c r="F13" s="33" t="s">
        <v>62</v>
      </c>
      <c r="G13" s="146">
        <v>1</v>
      </c>
      <c r="H13" s="35" t="s">
        <v>29</v>
      </c>
      <c r="J13" s="192"/>
      <c r="K13" s="192"/>
      <c r="L13" s="192"/>
      <c r="M13" s="192"/>
      <c r="N13" s="192"/>
      <c r="O13" s="192"/>
    </row>
    <row r="14" spans="1:17" s="7" customFormat="1" ht="15.75" customHeight="1">
      <c r="A14" s="173" t="s">
        <v>19</v>
      </c>
      <c r="B14" s="173"/>
      <c r="C14" s="173"/>
      <c r="D14" s="173"/>
      <c r="E14" s="173"/>
      <c r="F14" s="33" t="s">
        <v>63</v>
      </c>
      <c r="G14" s="146">
        <v>0</v>
      </c>
      <c r="H14" s="35" t="s">
        <v>29</v>
      </c>
      <c r="J14" s="190" t="s">
        <v>227</v>
      </c>
      <c r="K14" s="190"/>
      <c r="L14" s="190"/>
      <c r="M14" s="190"/>
      <c r="N14" s="190"/>
      <c r="O14" s="190"/>
    </row>
    <row r="15" spans="1:17" s="7" customFormat="1" ht="15.75" customHeight="1">
      <c r="A15" s="172" t="s">
        <v>26</v>
      </c>
      <c r="B15" s="172"/>
      <c r="C15" s="172"/>
      <c r="D15" s="172"/>
      <c r="E15" s="172"/>
      <c r="F15" s="33" t="s">
        <v>64</v>
      </c>
      <c r="G15" s="146">
        <v>27</v>
      </c>
      <c r="H15" s="35" t="s">
        <v>7</v>
      </c>
      <c r="J15" s="190"/>
      <c r="K15" s="190"/>
      <c r="L15" s="190"/>
      <c r="M15" s="190"/>
      <c r="N15" s="190"/>
      <c r="O15" s="190"/>
    </row>
    <row r="16" spans="1:17">
      <c r="A16" s="29"/>
      <c r="B16" s="29"/>
      <c r="C16" s="29"/>
      <c r="D16" s="29"/>
      <c r="E16" s="29"/>
      <c r="F16" s="29"/>
      <c r="G16" s="29"/>
      <c r="H16" s="29"/>
    </row>
    <row r="17" spans="1:22" ht="15.75" customHeight="1">
      <c r="A17" s="189" t="s">
        <v>46</v>
      </c>
      <c r="B17" s="189"/>
      <c r="C17" s="189"/>
      <c r="D17" s="189"/>
      <c r="E17" s="189"/>
      <c r="F17" s="189"/>
      <c r="G17" s="189"/>
      <c r="H17" s="189"/>
      <c r="J17" s="177"/>
      <c r="K17" s="177"/>
      <c r="L17" s="177"/>
      <c r="M17" s="177"/>
      <c r="N17" s="177"/>
      <c r="O17" s="177"/>
    </row>
    <row r="18" spans="1:22" ht="15.75" customHeight="1">
      <c r="A18" s="174" t="s">
        <v>48</v>
      </c>
      <c r="B18" s="174"/>
      <c r="C18" s="174"/>
      <c r="D18" s="174"/>
      <c r="E18" s="174"/>
      <c r="F18" s="31" t="s">
        <v>24</v>
      </c>
      <c r="G18" s="146">
        <v>2</v>
      </c>
      <c r="H18" s="30" t="s">
        <v>5</v>
      </c>
      <c r="J18" s="177"/>
      <c r="K18" s="177"/>
      <c r="L18" s="177"/>
      <c r="M18" s="177"/>
      <c r="N18" s="177"/>
      <c r="O18" s="177"/>
    </row>
    <row r="19" spans="1:22" ht="15.75" customHeight="1">
      <c r="A19" s="174" t="s">
        <v>49</v>
      </c>
      <c r="B19" s="174"/>
      <c r="C19" s="174"/>
      <c r="D19" s="174"/>
      <c r="E19" s="174"/>
      <c r="F19" s="31" t="s">
        <v>50</v>
      </c>
      <c r="G19" s="145">
        <v>25</v>
      </c>
      <c r="H19" s="30" t="s">
        <v>5</v>
      </c>
      <c r="J19" s="177"/>
      <c r="K19" s="177"/>
      <c r="L19" s="177"/>
      <c r="M19" s="177"/>
      <c r="N19" s="177"/>
      <c r="O19" s="177"/>
    </row>
    <row r="20" spans="1:22" s="8" customFormat="1">
      <c r="A20" s="12"/>
      <c r="F20" s="13"/>
    </row>
    <row r="21" spans="1:22" s="8" customFormat="1" ht="15.75" customHeight="1">
      <c r="A21" s="182" t="s">
        <v>218</v>
      </c>
      <c r="B21" s="182"/>
      <c r="C21" s="182"/>
      <c r="D21" s="182"/>
      <c r="E21" s="182"/>
      <c r="F21" s="182"/>
      <c r="G21" s="182"/>
      <c r="H21" s="182"/>
      <c r="J21" s="178"/>
      <c r="K21" s="178"/>
      <c r="L21" s="178"/>
      <c r="M21" s="178"/>
      <c r="N21" s="178"/>
      <c r="O21" s="178"/>
    </row>
    <row r="22" spans="1:22" s="8" customFormat="1" ht="15.75" customHeight="1">
      <c r="A22" s="175" t="s">
        <v>22</v>
      </c>
      <c r="B22" s="175"/>
      <c r="C22" s="175"/>
      <c r="D22" s="175"/>
      <c r="E22" s="175"/>
      <c r="F22" s="18" t="s">
        <v>47</v>
      </c>
      <c r="G22" s="142">
        <f>worksheet!G28</f>
        <v>9.2592592592592587E-3</v>
      </c>
      <c r="H22" s="17" t="s">
        <v>6</v>
      </c>
      <c r="J22" s="178"/>
      <c r="K22" s="178"/>
      <c r="L22" s="178"/>
      <c r="M22" s="178"/>
      <c r="N22" s="178"/>
      <c r="O22" s="178"/>
    </row>
    <row r="23" spans="1:22" s="8" customFormat="1" ht="15.75" customHeight="1">
      <c r="A23" s="181" t="s">
        <v>72</v>
      </c>
      <c r="B23" s="181"/>
      <c r="C23" s="181"/>
      <c r="D23" s="181"/>
      <c r="E23" s="181"/>
      <c r="F23" s="16" t="s">
        <v>177</v>
      </c>
      <c r="G23" s="143">
        <f>worksheet!G31</f>
        <v>0</v>
      </c>
      <c r="H23" s="9" t="s">
        <v>29</v>
      </c>
      <c r="J23" s="178"/>
      <c r="K23" s="178"/>
      <c r="L23" s="178"/>
      <c r="M23" s="178"/>
      <c r="N23" s="178"/>
      <c r="O23" s="178"/>
    </row>
    <row r="24" spans="1:22" s="8" customFormat="1" ht="15.75" customHeight="1">
      <c r="A24" s="181" t="s">
        <v>74</v>
      </c>
      <c r="B24" s="181"/>
      <c r="C24" s="181"/>
      <c r="D24" s="181"/>
      <c r="E24" s="181"/>
      <c r="F24" s="16" t="s">
        <v>78</v>
      </c>
      <c r="G24" s="142">
        <f>worksheet!G33</f>
        <v>30</v>
      </c>
      <c r="H24" s="9" t="s">
        <v>29</v>
      </c>
      <c r="J24" s="178"/>
      <c r="K24" s="178"/>
      <c r="L24" s="178"/>
      <c r="M24" s="178"/>
      <c r="N24" s="178"/>
      <c r="O24" s="178"/>
    </row>
    <row r="25" spans="1:22" s="8" customFormat="1" ht="15.75" customHeight="1">
      <c r="A25" s="180" t="s">
        <v>27</v>
      </c>
      <c r="B25" s="180"/>
      <c r="C25" s="180"/>
      <c r="D25" s="180"/>
      <c r="E25" s="180"/>
      <c r="F25" s="16" t="s">
        <v>225</v>
      </c>
      <c r="G25" s="144">
        <f>MIN(E27:E66)</f>
        <v>0</v>
      </c>
      <c r="H25" s="9" t="s">
        <v>29</v>
      </c>
    </row>
    <row r="26" spans="1:22" s="8" customFormat="1">
      <c r="A26" s="12"/>
      <c r="F26" s="13"/>
      <c r="G26" s="15"/>
      <c r="I26" s="6"/>
      <c r="J26" s="6"/>
      <c r="K26" s="6"/>
      <c r="L26" s="6"/>
      <c r="M26" s="6"/>
      <c r="N26" s="6"/>
      <c r="O26" s="6"/>
    </row>
    <row r="27" spans="1:22" s="8" customFormat="1" ht="15.75" customHeight="1">
      <c r="A27" s="179" t="s">
        <v>223</v>
      </c>
      <c r="B27" s="179"/>
      <c r="C27" s="179"/>
      <c r="D27" s="179"/>
      <c r="E27" s="179"/>
      <c r="F27" s="179"/>
      <c r="G27" s="179"/>
      <c r="H27" s="179"/>
      <c r="I27" s="6"/>
      <c r="J27" s="6"/>
      <c r="K27" s="6"/>
      <c r="L27" s="6"/>
      <c r="M27" s="6"/>
    </row>
    <row r="28" spans="1:22" s="8" customFormat="1" ht="15.75" customHeight="1">
      <c r="A28" s="169" t="s">
        <v>11</v>
      </c>
      <c r="B28" s="169"/>
      <c r="C28" s="169" t="s">
        <v>12</v>
      </c>
      <c r="D28" s="169"/>
      <c r="E28" s="169" t="s">
        <v>89</v>
      </c>
      <c r="F28" s="169"/>
      <c r="G28" s="6"/>
      <c r="H28" s="6"/>
      <c r="I28" s="6"/>
      <c r="J28" s="6"/>
      <c r="K28" s="6"/>
      <c r="L28" s="6"/>
      <c r="M28" s="6"/>
    </row>
    <row r="29" spans="1:22" s="8" customFormat="1" ht="15.75" customHeight="1">
      <c r="A29" s="169" t="s">
        <v>21</v>
      </c>
      <c r="B29" s="169"/>
      <c r="C29" s="169" t="s">
        <v>20</v>
      </c>
      <c r="D29" s="169"/>
      <c r="E29" s="169" t="s">
        <v>88</v>
      </c>
      <c r="F29" s="169"/>
      <c r="G29" s="6"/>
      <c r="H29" s="6"/>
      <c r="I29" s="6"/>
      <c r="J29" s="6"/>
      <c r="K29" s="6"/>
      <c r="L29" s="6"/>
      <c r="M29" s="6"/>
    </row>
    <row r="30" spans="1:22" s="8" customFormat="1" ht="15.75" customHeight="1">
      <c r="A30" s="168">
        <f>worksheet!A42</f>
        <v>0</v>
      </c>
      <c r="B30" s="168"/>
      <c r="C30" s="170">
        <f>worksheet!C42</f>
        <v>0</v>
      </c>
      <c r="D30" s="170"/>
      <c r="E30" s="176">
        <f>worksheet!G42</f>
        <v>0</v>
      </c>
      <c r="F30" s="176"/>
      <c r="G30" s="6"/>
      <c r="H30" s="6"/>
      <c r="I30" s="6"/>
      <c r="J30" s="6"/>
      <c r="K30" s="6"/>
      <c r="L30" s="6"/>
      <c r="M30" s="6"/>
    </row>
    <row r="31" spans="1:22" s="8" customFormat="1" ht="15.75" customHeight="1">
      <c r="A31" s="168">
        <f>worksheet!A43</f>
        <v>0.5</v>
      </c>
      <c r="B31" s="168"/>
      <c r="C31" s="170">
        <f>worksheet!C43</f>
        <v>0.4</v>
      </c>
      <c r="D31" s="170"/>
      <c r="E31" s="176">
        <f>worksheet!G43</f>
        <v>0</v>
      </c>
      <c r="F31" s="176"/>
      <c r="G31" s="6"/>
      <c r="H31" s="6"/>
      <c r="I31" s="6"/>
      <c r="J31" s="6"/>
      <c r="K31" s="6"/>
      <c r="L31" s="6"/>
      <c r="M31" s="6"/>
      <c r="R31" s="24"/>
      <c r="S31" s="25"/>
      <c r="T31" s="25"/>
      <c r="U31" s="25"/>
      <c r="V31" s="25"/>
    </row>
    <row r="32" spans="1:22" s="8" customFormat="1" ht="15.75" customHeight="1">
      <c r="A32" s="168">
        <f>worksheet!A44</f>
        <v>1</v>
      </c>
      <c r="B32" s="168"/>
      <c r="C32" s="170">
        <f>worksheet!C44</f>
        <v>0.8</v>
      </c>
      <c r="D32" s="170"/>
      <c r="E32" s="176">
        <f>worksheet!G44</f>
        <v>0</v>
      </c>
      <c r="F32" s="176"/>
      <c r="G32" s="6"/>
      <c r="H32" s="6"/>
      <c r="I32" s="6"/>
      <c r="J32" s="6"/>
      <c r="K32" s="6"/>
      <c r="L32" s="6"/>
      <c r="M32" s="6"/>
      <c r="R32" s="24"/>
      <c r="S32" s="25"/>
      <c r="T32" s="25"/>
      <c r="U32" s="25"/>
      <c r="V32" s="25"/>
    </row>
    <row r="33" spans="1:29" s="8" customFormat="1" ht="15.75" customHeight="1">
      <c r="A33" s="168">
        <f>worksheet!A45</f>
        <v>1.5</v>
      </c>
      <c r="B33" s="168"/>
      <c r="C33" s="170">
        <f>worksheet!C45</f>
        <v>1.2</v>
      </c>
      <c r="D33" s="170"/>
      <c r="E33" s="176">
        <f>worksheet!G45</f>
        <v>0</v>
      </c>
      <c r="F33" s="176"/>
      <c r="G33" s="6"/>
      <c r="H33"/>
      <c r="I33" s="6"/>
      <c r="J33" s="6"/>
      <c r="K33" s="6"/>
      <c r="L33" s="6"/>
      <c r="M33" s="6"/>
      <c r="N33" s="6"/>
      <c r="P33" s="99"/>
      <c r="R33" s="24"/>
      <c r="S33" s="25"/>
      <c r="T33" s="25"/>
      <c r="U33" s="25"/>
      <c r="V33" s="25"/>
    </row>
    <row r="34" spans="1:29" s="8" customFormat="1" ht="15.75" customHeight="1">
      <c r="A34" s="168">
        <f>worksheet!A46</f>
        <v>2</v>
      </c>
      <c r="B34" s="168"/>
      <c r="C34" s="170">
        <f>worksheet!C46</f>
        <v>1.6</v>
      </c>
      <c r="D34" s="170"/>
      <c r="E34" s="176">
        <f>worksheet!G46</f>
        <v>0</v>
      </c>
      <c r="F34" s="176"/>
      <c r="G34" s="6"/>
      <c r="H34" s="6"/>
      <c r="I34" s="6"/>
      <c r="J34" s="6"/>
      <c r="K34" s="6"/>
      <c r="L34" s="6"/>
      <c r="M34" s="6"/>
      <c r="N34" s="6"/>
      <c r="P34" s="20"/>
      <c r="R34" s="24"/>
      <c r="S34" s="25"/>
      <c r="T34" s="25"/>
      <c r="U34" s="25"/>
      <c r="V34" s="25"/>
    </row>
    <row r="35" spans="1:29" s="8" customFormat="1" ht="15.75" customHeight="1">
      <c r="A35" s="168">
        <f>worksheet!A47</f>
        <v>2.5</v>
      </c>
      <c r="B35" s="168"/>
      <c r="C35" s="170">
        <f>worksheet!C47</f>
        <v>2</v>
      </c>
      <c r="D35" s="170"/>
      <c r="E35" s="176">
        <f>worksheet!G47</f>
        <v>0</v>
      </c>
      <c r="F35" s="176"/>
      <c r="G35" s="6"/>
      <c r="H35" s="6"/>
      <c r="I35" s="6"/>
      <c r="J35" s="6"/>
      <c r="K35" s="6"/>
      <c r="L35" s="6"/>
      <c r="M35" s="6"/>
      <c r="N35" s="6"/>
      <c r="P35" s="20"/>
      <c r="R35" s="94"/>
      <c r="S35" s="25"/>
      <c r="T35" s="25"/>
      <c r="U35" s="25"/>
      <c r="V35" s="25"/>
    </row>
    <row r="36" spans="1:29" s="8" customFormat="1" ht="15.75" customHeight="1">
      <c r="A36" s="168">
        <f>worksheet!A48</f>
        <v>3</v>
      </c>
      <c r="B36" s="168"/>
      <c r="C36" s="170">
        <f>worksheet!C48</f>
        <v>2.4</v>
      </c>
      <c r="D36" s="170"/>
      <c r="E36" s="176">
        <f>worksheet!G48</f>
        <v>0</v>
      </c>
      <c r="F36" s="176"/>
      <c r="G36" s="6"/>
      <c r="H36"/>
      <c r="I36" s="6"/>
      <c r="J36" s="6"/>
      <c r="K36" s="6"/>
      <c r="L36" s="6"/>
      <c r="M36" s="6"/>
      <c r="N36" s="6"/>
      <c r="P36" s="20"/>
      <c r="X36" s="94"/>
      <c r="Y36" s="94"/>
      <c r="Z36" s="94"/>
      <c r="AA36" s="94"/>
      <c r="AB36" s="94"/>
    </row>
    <row r="37" spans="1:29" ht="15.75" customHeight="1">
      <c r="A37" s="168">
        <f>worksheet!A49</f>
        <v>3.5</v>
      </c>
      <c r="B37" s="168"/>
      <c r="C37" s="170">
        <f>worksheet!C49</f>
        <v>2.8</v>
      </c>
      <c r="D37" s="170"/>
      <c r="E37" s="176">
        <f>worksheet!G49</f>
        <v>0</v>
      </c>
      <c r="F37" s="176"/>
      <c r="O37" s="8"/>
      <c r="P37" s="20"/>
      <c r="Q37" s="99"/>
      <c r="R37" s="99"/>
      <c r="S37" s="99"/>
      <c r="T37" s="99"/>
      <c r="U37" s="99"/>
      <c r="V37" s="99"/>
      <c r="W37" s="99"/>
      <c r="X37" s="95"/>
      <c r="Y37" s="95"/>
      <c r="Z37" s="95"/>
      <c r="AA37" s="95"/>
      <c r="AB37" s="95"/>
      <c r="AC37" s="8"/>
    </row>
    <row r="38" spans="1:29" ht="15.75" customHeight="1">
      <c r="A38" s="168">
        <f>worksheet!A50</f>
        <v>4</v>
      </c>
      <c r="B38" s="168"/>
      <c r="C38" s="170">
        <f>worksheet!C50</f>
        <v>3.2</v>
      </c>
      <c r="D38" s="170"/>
      <c r="E38" s="176">
        <f>worksheet!G50</f>
        <v>0</v>
      </c>
      <c r="F38" s="176"/>
      <c r="O38" s="8"/>
      <c r="P38" s="20"/>
      <c r="Q38" s="20"/>
      <c r="R38" s="20"/>
      <c r="S38" s="20"/>
      <c r="T38" s="20"/>
      <c r="U38" s="20"/>
      <c r="V38" s="20"/>
      <c r="W38" s="20"/>
      <c r="X38" s="20"/>
      <c r="Y38" s="20"/>
      <c r="Z38" s="20"/>
      <c r="AA38" s="20"/>
      <c r="AB38" s="20"/>
      <c r="AC38" s="8"/>
    </row>
    <row r="39" spans="1:29" ht="15.75" customHeight="1">
      <c r="A39" s="168">
        <f>worksheet!A51</f>
        <v>4.5</v>
      </c>
      <c r="B39" s="168"/>
      <c r="C39" s="170">
        <f>worksheet!C51</f>
        <v>3.6</v>
      </c>
      <c r="D39" s="170"/>
      <c r="E39" s="176">
        <f>worksheet!G51</f>
        <v>0</v>
      </c>
      <c r="F39" s="176"/>
      <c r="O39" s="8"/>
      <c r="P39" s="20"/>
      <c r="Q39" s="20"/>
      <c r="R39" s="20"/>
      <c r="S39" s="20"/>
      <c r="T39" s="20"/>
      <c r="U39" s="21"/>
      <c r="V39" s="96"/>
      <c r="W39" s="20"/>
      <c r="X39" s="22"/>
      <c r="Y39" s="22"/>
      <c r="Z39" s="22"/>
      <c r="AA39" s="22"/>
      <c r="AB39" s="22"/>
      <c r="AC39" s="8"/>
    </row>
    <row r="40" spans="1:29" ht="15.75" customHeight="1">
      <c r="A40" s="168">
        <f>worksheet!A52</f>
        <v>5</v>
      </c>
      <c r="B40" s="168"/>
      <c r="C40" s="170">
        <f>worksheet!C52</f>
        <v>4</v>
      </c>
      <c r="D40" s="170"/>
      <c r="E40" s="176">
        <f>worksheet!G52</f>
        <v>8.2381242552216349E-3</v>
      </c>
      <c r="F40" s="176"/>
      <c r="O40" s="8"/>
      <c r="P40" s="48"/>
      <c r="Q40" s="20"/>
      <c r="R40" s="20"/>
      <c r="S40" s="20"/>
      <c r="T40" s="20"/>
      <c r="U40" s="21"/>
      <c r="V40" s="25"/>
      <c r="W40" s="20"/>
      <c r="X40" s="22"/>
      <c r="Y40" s="22"/>
      <c r="Z40" s="22"/>
      <c r="AA40" s="22"/>
      <c r="AB40" s="22"/>
      <c r="AC40" s="8"/>
    </row>
    <row r="41" spans="1:29" ht="15.75" customHeight="1">
      <c r="A41" s="168">
        <f>worksheet!A53</f>
        <v>5.5</v>
      </c>
      <c r="B41" s="168"/>
      <c r="C41" s="170">
        <f>worksheet!C53</f>
        <v>4.4000000000000004</v>
      </c>
      <c r="D41" s="170"/>
      <c r="E41" s="176">
        <f>worksheet!G53</f>
        <v>3.1076358384405367E-2</v>
      </c>
      <c r="F41" s="176"/>
      <c r="O41" s="8"/>
      <c r="P41" s="12"/>
      <c r="Q41" s="20"/>
      <c r="R41" s="21"/>
      <c r="S41" s="21"/>
      <c r="T41" s="20"/>
      <c r="U41" s="21"/>
      <c r="V41" s="25"/>
      <c r="W41" s="20"/>
      <c r="X41" s="22"/>
      <c r="Y41" s="22"/>
      <c r="Z41" s="22"/>
      <c r="AA41" s="22"/>
      <c r="AB41" s="22"/>
      <c r="AC41" s="8"/>
    </row>
    <row r="42" spans="1:29" ht="15.75" customHeight="1">
      <c r="A42" s="168">
        <f>worksheet!A54</f>
        <v>6</v>
      </c>
      <c r="B42" s="168"/>
      <c r="C42" s="170">
        <f>worksheet!C54</f>
        <v>4.8</v>
      </c>
      <c r="D42" s="170"/>
      <c r="E42" s="176">
        <f>worksheet!G54</f>
        <v>5.6963534052298925E-2</v>
      </c>
      <c r="F42" s="176"/>
      <c r="O42" s="8"/>
      <c r="P42" s="12"/>
      <c r="Q42" s="20"/>
      <c r="R42" s="20"/>
      <c r="S42" s="20"/>
      <c r="T42" s="20"/>
      <c r="U42" s="21"/>
      <c r="V42" s="22"/>
      <c r="W42" s="8"/>
      <c r="X42" s="22"/>
      <c r="Y42" s="22"/>
      <c r="Z42" s="22"/>
      <c r="AA42" s="22"/>
      <c r="AB42" s="22"/>
      <c r="AC42" s="8"/>
    </row>
    <row r="43" spans="1:29" ht="15.75" customHeight="1">
      <c r="A43" s="168">
        <f>worksheet!A55</f>
        <v>6.5</v>
      </c>
      <c r="B43" s="168"/>
      <c r="C43" s="170">
        <f>worksheet!C55</f>
        <v>5.2</v>
      </c>
      <c r="D43" s="170"/>
      <c r="E43" s="176">
        <f>worksheet!G55</f>
        <v>8.5702648520298297E-2</v>
      </c>
      <c r="F43" s="176"/>
      <c r="O43" s="8"/>
      <c r="P43" s="12"/>
      <c r="Q43" s="20"/>
      <c r="R43" s="20"/>
      <c r="S43" s="20"/>
      <c r="T43" s="20"/>
      <c r="U43" s="21"/>
      <c r="V43" s="22"/>
      <c r="W43" s="8"/>
      <c r="X43" s="8"/>
      <c r="Y43" s="8"/>
      <c r="Z43" s="8"/>
      <c r="AA43" s="8"/>
      <c r="AB43" s="8"/>
      <c r="AC43" s="8"/>
    </row>
    <row r="44" spans="1:29" ht="15.75" customHeight="1">
      <c r="A44" s="168">
        <f>worksheet!A56</f>
        <v>7</v>
      </c>
      <c r="B44" s="168"/>
      <c r="C44" s="170">
        <f>worksheet!C56</f>
        <v>5.6</v>
      </c>
      <c r="D44" s="170"/>
      <c r="E44" s="176">
        <f>worksheet!G56</f>
        <v>0.11710755138220641</v>
      </c>
      <c r="F44" s="176"/>
      <c r="O44" s="8"/>
      <c r="P44" s="20"/>
      <c r="Q44" s="48"/>
      <c r="R44" s="48"/>
      <c r="S44" s="48"/>
      <c r="T44" s="48"/>
      <c r="U44" s="48"/>
      <c r="V44" s="48"/>
      <c r="W44" s="48"/>
      <c r="X44" s="97"/>
      <c r="Y44" s="97"/>
      <c r="Z44" s="97"/>
      <c r="AA44" s="97"/>
      <c r="AB44" s="97"/>
      <c r="AC44" s="8"/>
    </row>
    <row r="45" spans="1:29" ht="15.75" customHeight="1">
      <c r="A45" s="168">
        <f>worksheet!A57</f>
        <v>7.5</v>
      </c>
      <c r="B45" s="168"/>
      <c r="C45" s="170">
        <f>worksheet!C57</f>
        <v>6</v>
      </c>
      <c r="D45" s="170"/>
      <c r="E45" s="176">
        <f>worksheet!G57</f>
        <v>0.15100235878667156</v>
      </c>
      <c r="F45" s="176"/>
      <c r="O45" s="8"/>
      <c r="P45" s="12"/>
      <c r="Q45" s="12"/>
      <c r="R45" s="12"/>
      <c r="S45" s="12"/>
      <c r="T45" s="12"/>
      <c r="U45" s="12"/>
      <c r="V45" s="12"/>
      <c r="W45" s="12"/>
      <c r="X45" s="12"/>
      <c r="Y45" s="12"/>
      <c r="Z45" s="12"/>
      <c r="AA45" s="12"/>
      <c r="AB45" s="12"/>
      <c r="AC45" s="8"/>
    </row>
    <row r="46" spans="1:29" ht="15.75" customHeight="1">
      <c r="A46" s="168">
        <f>worksheet!A58</f>
        <v>8</v>
      </c>
      <c r="B46" s="168"/>
      <c r="C46" s="170">
        <f>worksheet!C58</f>
        <v>6.4</v>
      </c>
      <c r="D46" s="170"/>
      <c r="E46" s="176">
        <f>worksheet!G58</f>
        <v>0.18722089918750662</v>
      </c>
      <c r="F46" s="176"/>
      <c r="O46" s="8"/>
      <c r="P46" s="12"/>
      <c r="Q46" s="12"/>
      <c r="R46" s="12"/>
      <c r="S46" s="12"/>
      <c r="T46" s="12"/>
      <c r="U46" s="12"/>
      <c r="V46" s="12"/>
      <c r="W46" s="12"/>
      <c r="X46" s="98"/>
      <c r="Y46" s="98"/>
      <c r="Z46" s="98"/>
      <c r="AA46" s="98"/>
      <c r="AB46" s="98"/>
      <c r="AC46" s="8"/>
    </row>
    <row r="47" spans="1:29" ht="15.75" customHeight="1">
      <c r="A47" s="168">
        <f>worksheet!A59</f>
        <v>8.5</v>
      </c>
      <c r="B47" s="168"/>
      <c r="C47" s="170">
        <f>worksheet!C59</f>
        <v>6.8</v>
      </c>
      <c r="D47" s="170"/>
      <c r="E47" s="176">
        <f>worksheet!G59</f>
        <v>0.22560618892566353</v>
      </c>
      <c r="F47" s="176"/>
      <c r="O47" s="8"/>
      <c r="P47" s="8"/>
      <c r="Q47" s="8"/>
      <c r="R47" s="8"/>
      <c r="S47" s="8"/>
      <c r="T47" s="8"/>
      <c r="U47" s="13"/>
      <c r="V47" s="25"/>
      <c r="W47" s="8"/>
      <c r="X47" s="12"/>
      <c r="Y47" s="12"/>
      <c r="Z47" s="12"/>
      <c r="AA47" s="12"/>
      <c r="AB47" s="12"/>
      <c r="AC47" s="8"/>
    </row>
    <row r="48" spans="1:29" ht="15.75" customHeight="1">
      <c r="A48" s="168">
        <f>worksheet!A60</f>
        <v>9</v>
      </c>
      <c r="B48" s="168"/>
      <c r="C48" s="170">
        <f>worksheet!C60</f>
        <v>7.2</v>
      </c>
      <c r="D48" s="170"/>
      <c r="E48" s="176">
        <f>worksheet!G60</f>
        <v>0.26600993603793377</v>
      </c>
      <c r="F48" s="176"/>
      <c r="Q48" s="8"/>
      <c r="R48" s="13"/>
      <c r="S48" s="13"/>
      <c r="T48" s="8"/>
      <c r="U48" s="13"/>
      <c r="V48" s="25"/>
      <c r="W48" s="8"/>
      <c r="X48" s="12"/>
      <c r="Y48" s="12"/>
      <c r="Z48" s="12"/>
      <c r="AA48" s="12"/>
      <c r="AB48" s="12"/>
      <c r="AC48" s="8"/>
    </row>
    <row r="49" spans="1:29" ht="15.75" customHeight="1">
      <c r="A49" s="168">
        <f>worksheet!A61</f>
        <v>9.5</v>
      </c>
      <c r="B49" s="168"/>
      <c r="C49" s="170">
        <f>worksheet!C61</f>
        <v>7.6</v>
      </c>
      <c r="D49" s="170"/>
      <c r="E49" s="176">
        <f>worksheet!G61</f>
        <v>0.30829207077374754</v>
      </c>
      <c r="F49" s="176"/>
      <c r="Q49" s="8"/>
      <c r="R49" s="8"/>
      <c r="S49" s="8"/>
      <c r="T49" s="8"/>
      <c r="U49" s="13"/>
      <c r="V49" s="8"/>
      <c r="W49" s="8"/>
      <c r="X49" s="12"/>
      <c r="Y49" s="12"/>
      <c r="Z49" s="12"/>
      <c r="AA49" s="12"/>
      <c r="AB49" s="12"/>
      <c r="AC49" s="8"/>
    </row>
    <row r="50" spans="1:29" ht="15.75" customHeight="1">
      <c r="A50" s="168">
        <f>worksheet!A62</f>
        <v>10</v>
      </c>
      <c r="B50" s="168"/>
      <c r="C50" s="170">
        <f>worksheet!C62</f>
        <v>8</v>
      </c>
      <c r="D50" s="170"/>
      <c r="E50" s="176">
        <f>worksheet!G62</f>
        <v>0.35232030138315018</v>
      </c>
      <c r="F50" s="176"/>
      <c r="Q50" s="8"/>
      <c r="R50" s="8"/>
      <c r="S50" s="8"/>
      <c r="T50" s="8"/>
      <c r="U50" s="13"/>
      <c r="V50" s="8"/>
      <c r="W50" s="8"/>
      <c r="X50" s="8"/>
      <c r="Y50" s="8"/>
      <c r="Z50" s="8"/>
      <c r="AA50" s="8"/>
      <c r="AB50" s="8"/>
      <c r="AC50" s="8"/>
    </row>
    <row r="51" spans="1:29" ht="15.75" customHeight="1">
      <c r="A51" s="168">
        <f>worksheet!A63</f>
        <v>10.5</v>
      </c>
      <c r="B51" s="168"/>
      <c r="C51" s="170">
        <f>worksheet!C63</f>
        <v>8.4</v>
      </c>
      <c r="D51" s="170"/>
      <c r="E51" s="176">
        <f>worksheet!G63</f>
        <v>0.39796969381637304</v>
      </c>
      <c r="F51" s="176"/>
      <c r="Q51" s="8"/>
      <c r="R51" s="8"/>
      <c r="S51" s="8"/>
      <c r="T51" s="8"/>
      <c r="U51" s="8"/>
      <c r="V51" s="8"/>
      <c r="W51" s="8"/>
      <c r="X51" s="8"/>
      <c r="Y51" s="8"/>
      <c r="Z51" s="8"/>
      <c r="AA51" s="8"/>
      <c r="AB51" s="8"/>
      <c r="AC51" s="8"/>
    </row>
    <row r="52" spans="1:29" ht="15.75" customHeight="1">
      <c r="A52" s="168">
        <f>worksheet!A64</f>
        <v>11</v>
      </c>
      <c r="B52" s="168"/>
      <c r="C52" s="170">
        <f>worksheet!C64</f>
        <v>8.8000000000000007</v>
      </c>
      <c r="D52" s="170"/>
      <c r="E52" s="176">
        <f>worksheet!G64</f>
        <v>0.44512227404848126</v>
      </c>
      <c r="F52" s="176"/>
    </row>
    <row r="53" spans="1:29" ht="15.75" customHeight="1">
      <c r="A53" s="168">
        <f>worksheet!A65</f>
        <v>11.5</v>
      </c>
      <c r="B53" s="168"/>
      <c r="C53" s="170">
        <f>worksheet!C65</f>
        <v>9.1999999999999993</v>
      </c>
      <c r="D53" s="170"/>
      <c r="E53" s="176">
        <f>worksheet!G65</f>
        <v>0.49366665181188196</v>
      </c>
      <c r="F53" s="176"/>
    </row>
    <row r="54" spans="1:29" ht="15.75" customHeight="1">
      <c r="A54" s="168">
        <f>worksheet!A66</f>
        <v>12</v>
      </c>
      <c r="B54" s="168"/>
      <c r="C54" s="170">
        <f>worksheet!C66</f>
        <v>9.6</v>
      </c>
      <c r="D54" s="170"/>
      <c r="E54" s="176">
        <f>worksheet!G66</f>
        <v>0.54349766458489235</v>
      </c>
      <c r="F54" s="176"/>
    </row>
    <row r="55" spans="1:29" ht="15.75" customHeight="1">
      <c r="A55" s="168">
        <f>worksheet!A67</f>
        <v>12.5</v>
      </c>
      <c r="B55" s="168"/>
      <c r="C55" s="170">
        <f>worksheet!C67</f>
        <v>10</v>
      </c>
      <c r="D55" s="170"/>
      <c r="E55" s="176">
        <f>worksheet!G67</f>
        <v>0.59451604074656039</v>
      </c>
      <c r="F55" s="176"/>
    </row>
    <row r="56" spans="1:29" ht="15.75" customHeight="1">
      <c r="A56" s="168">
        <f>worksheet!A68</f>
        <v>13</v>
      </c>
      <c r="B56" s="168"/>
      <c r="C56" s="170">
        <f>worksheet!C68</f>
        <v>10.4</v>
      </c>
      <c r="D56" s="170"/>
      <c r="E56" s="176">
        <f>worksheet!G68</f>
        <v>0.6466280808665541</v>
      </c>
      <c r="F56" s="176"/>
    </row>
    <row r="57" spans="1:29" ht="15.75" customHeight="1">
      <c r="A57" s="168">
        <f>worksheet!A69</f>
        <v>13.5</v>
      </c>
      <c r="B57" s="168"/>
      <c r="C57" s="170">
        <f>worksheet!C69</f>
        <v>10.8</v>
      </c>
      <c r="D57" s="170"/>
      <c r="E57" s="176">
        <f>worksheet!G69</f>
        <v>0.69974535615439137</v>
      </c>
      <c r="F57" s="176"/>
    </row>
    <row r="58" spans="1:29" ht="15.75" customHeight="1">
      <c r="A58" s="168">
        <f>worksheet!A70</f>
        <v>14</v>
      </c>
      <c r="B58" s="168"/>
      <c r="C58" s="170">
        <f>worksheet!C70</f>
        <v>11.2</v>
      </c>
      <c r="D58" s="170"/>
      <c r="E58" s="176">
        <f>worksheet!G70</f>
        <v>0.75378442314483962</v>
      </c>
      <c r="F58" s="176"/>
    </row>
    <row r="59" spans="1:29" ht="15.75" customHeight="1">
      <c r="A59" s="168">
        <f>worksheet!A71</f>
        <v>14.5</v>
      </c>
      <c r="B59" s="168"/>
      <c r="C59" s="170">
        <f>worksheet!C71</f>
        <v>11.6</v>
      </c>
      <c r="D59" s="170"/>
      <c r="E59" s="176">
        <f>worksheet!G71</f>
        <v>0.80866655374586394</v>
      </c>
      <c r="F59" s="176"/>
    </row>
    <row r="60" spans="1:29" ht="15.75" customHeight="1">
      <c r="A60" s="168">
        <f>worksheet!A72</f>
        <v>15</v>
      </c>
      <c r="B60" s="168"/>
      <c r="C60" s="170">
        <f>worksheet!C72</f>
        <v>12</v>
      </c>
      <c r="D60" s="170"/>
      <c r="E60" s="176">
        <f>worksheet!G72</f>
        <v>0.86431747982262053</v>
      </c>
      <c r="F60" s="176"/>
    </row>
    <row r="61" spans="1:29" ht="15.75" customHeight="1">
      <c r="A61" s="168">
        <f>worksheet!A73</f>
        <v>15.5</v>
      </c>
      <c r="B61" s="168"/>
      <c r="C61" s="170">
        <f>worksheet!C73</f>
        <v>12.4</v>
      </c>
      <c r="D61" s="170"/>
      <c r="E61" s="176">
        <f>worksheet!G73</f>
        <v>0.92066715153538325</v>
      </c>
      <c r="F61" s="176"/>
    </row>
    <row r="62" spans="1:29" ht="15.75" customHeight="1">
      <c r="A62" s="168">
        <f>worksheet!A74</f>
        <v>16</v>
      </c>
      <c r="B62" s="168"/>
      <c r="C62" s="170">
        <f>worksheet!C74</f>
        <v>12.8</v>
      </c>
      <c r="D62" s="170"/>
      <c r="E62" s="176">
        <f>worksheet!G74</f>
        <v>0.97764950869138012</v>
      </c>
      <c r="F62" s="176"/>
    </row>
    <row r="63" spans="1:29" ht="15.75" customHeight="1">
      <c r="A63" s="168">
        <f>worksheet!A75</f>
        <v>16.5</v>
      </c>
      <c r="B63" s="168"/>
      <c r="C63" s="170">
        <f>worksheet!C75</f>
        <v>13.2</v>
      </c>
      <c r="D63" s="170"/>
      <c r="E63" s="176">
        <f>worksheet!G75</f>
        <v>1.0352022644103585</v>
      </c>
      <c r="F63" s="176"/>
    </row>
    <row r="64" spans="1:29" ht="15.75" customHeight="1">
      <c r="A64" s="168">
        <f>worksheet!A76</f>
        <v>17</v>
      </c>
      <c r="B64" s="168"/>
      <c r="C64" s="170">
        <f>worksheet!C76</f>
        <v>13.6</v>
      </c>
      <c r="D64" s="170"/>
      <c r="E64" s="176">
        <f>worksheet!G76</f>
        <v>1.0932667004413066</v>
      </c>
      <c r="F64" s="176"/>
    </row>
    <row r="65" spans="1:6" ht="15.75" customHeight="1">
      <c r="A65" s="168">
        <f>worksheet!A77</f>
        <v>17.5</v>
      </c>
      <c r="B65" s="168"/>
      <c r="C65" s="170">
        <f>worksheet!C77</f>
        <v>14</v>
      </c>
      <c r="D65" s="170"/>
      <c r="E65" s="176">
        <f>worksheet!G77</f>
        <v>1.1517874735034681</v>
      </c>
      <c r="F65" s="176"/>
    </row>
    <row r="66" spans="1:6" ht="15.75" customHeight="1">
      <c r="A66" s="168">
        <f>worksheet!A78</f>
        <v>18</v>
      </c>
      <c r="B66" s="168"/>
      <c r="C66" s="170">
        <f>worksheet!C78</f>
        <v>14.4</v>
      </c>
      <c r="D66" s="170"/>
      <c r="E66" s="176">
        <f>worksheet!G78</f>
        <v>1.2107124320584823</v>
      </c>
      <c r="F66" s="176"/>
    </row>
    <row r="67" spans="1:6" ht="15.75" customHeight="1">
      <c r="A67" s="168">
        <f>worksheet!A79</f>
        <v>18.5</v>
      </c>
      <c r="B67" s="168"/>
      <c r="C67" s="170">
        <f>worksheet!C79</f>
        <v>14.8</v>
      </c>
      <c r="D67" s="170"/>
      <c r="E67" s="176">
        <f>worksheet!G79</f>
        <v>1.2699924429523506</v>
      </c>
      <c r="F67" s="176"/>
    </row>
    <row r="68" spans="1:6" ht="15.75" customHeight="1">
      <c r="A68" s="168">
        <f>worksheet!A80</f>
        <v>19</v>
      </c>
      <c r="B68" s="168"/>
      <c r="C68" s="170">
        <f>worksheet!C80</f>
        <v>15.2</v>
      </c>
      <c r="D68" s="170"/>
      <c r="E68" s="176">
        <f>worksheet!G80</f>
        <v>1.3295812273962451</v>
      </c>
      <c r="F68" s="176"/>
    </row>
    <row r="69" spans="1:6" ht="15.75" customHeight="1">
      <c r="A69" s="168">
        <f>worksheet!A81</f>
        <v>19.5</v>
      </c>
      <c r="B69" s="168"/>
      <c r="C69" s="170">
        <f>worksheet!C81</f>
        <v>15.6</v>
      </c>
      <c r="D69" s="170"/>
      <c r="E69" s="176">
        <f>worksheet!G81</f>
        <v>1.3894352057835704</v>
      </c>
      <c r="F69" s="176"/>
    </row>
    <row r="70" spans="1:6" ht="15.75" customHeight="1">
      <c r="A70" s="168">
        <f>worksheet!A82</f>
        <v>20</v>
      </c>
      <c r="B70" s="168"/>
      <c r="C70" s="170">
        <f>worksheet!C82</f>
        <v>16</v>
      </c>
      <c r="D70" s="170"/>
      <c r="E70" s="176">
        <f>worksheet!G82</f>
        <v>1.4495133508679068</v>
      </c>
      <c r="F70" s="176"/>
    </row>
  </sheetData>
  <sheetProtection sheet="1" scenarios="1" formatCells="0" formatColumns="0" formatRows="0"/>
  <mergeCells count="167">
    <mergeCell ref="J17:O17"/>
    <mergeCell ref="C36:D36"/>
    <mergeCell ref="A27:H27"/>
    <mergeCell ref="A25:E25"/>
    <mergeCell ref="A23:E23"/>
    <mergeCell ref="A24:E24"/>
    <mergeCell ref="A21:H21"/>
    <mergeCell ref="A11:H11"/>
    <mergeCell ref="A1:O1"/>
    <mergeCell ref="A2:O2"/>
    <mergeCell ref="A3:O3"/>
    <mergeCell ref="J5:O5"/>
    <mergeCell ref="A4:O4"/>
    <mergeCell ref="E33:F33"/>
    <mergeCell ref="A5:H5"/>
    <mergeCell ref="A17:H17"/>
    <mergeCell ref="J14:O15"/>
    <mergeCell ref="J6:O6"/>
    <mergeCell ref="J7:O7"/>
    <mergeCell ref="J11:O11"/>
    <mergeCell ref="J8:O9"/>
    <mergeCell ref="J12:O12"/>
    <mergeCell ref="J13:O13"/>
    <mergeCell ref="J18:O18"/>
    <mergeCell ref="J19:O19"/>
    <mergeCell ref="E37:F37"/>
    <mergeCell ref="E28:F28"/>
    <mergeCell ref="E29:F29"/>
    <mergeCell ref="E30:F30"/>
    <mergeCell ref="E31:F31"/>
    <mergeCell ref="E32:F32"/>
    <mergeCell ref="E43:F43"/>
    <mergeCell ref="E44:F44"/>
    <mergeCell ref="J22:O22"/>
    <mergeCell ref="J23:O23"/>
    <mergeCell ref="J21:O21"/>
    <mergeCell ref="J24:O24"/>
    <mergeCell ref="E45:F45"/>
    <mergeCell ref="E34:F34"/>
    <mergeCell ref="E35:F35"/>
    <mergeCell ref="E36:F36"/>
    <mergeCell ref="E46:F46"/>
    <mergeCell ref="E47:F47"/>
    <mergeCell ref="E38:F38"/>
    <mergeCell ref="E39:F39"/>
    <mergeCell ref="E40:F40"/>
    <mergeCell ref="E41:F41"/>
    <mergeCell ref="E42:F42"/>
    <mergeCell ref="E53:F53"/>
    <mergeCell ref="E54:F54"/>
    <mergeCell ref="E55:F55"/>
    <mergeCell ref="E56:F56"/>
    <mergeCell ref="E57:F57"/>
    <mergeCell ref="E48:F48"/>
    <mergeCell ref="E49:F49"/>
    <mergeCell ref="E50:F50"/>
    <mergeCell ref="E51:F51"/>
    <mergeCell ref="E52:F52"/>
    <mergeCell ref="E68:F68"/>
    <mergeCell ref="E69:F69"/>
    <mergeCell ref="E70:F70"/>
    <mergeCell ref="E63:F63"/>
    <mergeCell ref="E64:F64"/>
    <mergeCell ref="E65:F65"/>
    <mergeCell ref="E66:F66"/>
    <mergeCell ref="E67:F67"/>
    <mergeCell ref="E58:F58"/>
    <mergeCell ref="E59:F59"/>
    <mergeCell ref="E60:F60"/>
    <mergeCell ref="E61:F61"/>
    <mergeCell ref="E62:F62"/>
    <mergeCell ref="C41:D41"/>
    <mergeCell ref="C42:D42"/>
    <mergeCell ref="A41:B41"/>
    <mergeCell ref="A42:B42"/>
    <mergeCell ref="C43:D43"/>
    <mergeCell ref="C44:D44"/>
    <mergeCell ref="C45:D45"/>
    <mergeCell ref="C46:D46"/>
    <mergeCell ref="C47:D47"/>
    <mergeCell ref="A43:B43"/>
    <mergeCell ref="A44:B44"/>
    <mergeCell ref="A45:B45"/>
    <mergeCell ref="A46:B46"/>
    <mergeCell ref="A47:B47"/>
    <mergeCell ref="A53:B53"/>
    <mergeCell ref="A54:B54"/>
    <mergeCell ref="A55:B55"/>
    <mergeCell ref="A56:B56"/>
    <mergeCell ref="A57:B57"/>
    <mergeCell ref="C48:D48"/>
    <mergeCell ref="C53:D53"/>
    <mergeCell ref="C54:D54"/>
    <mergeCell ref="C55:D55"/>
    <mergeCell ref="C56:D56"/>
    <mergeCell ref="C57:D57"/>
    <mergeCell ref="C49:D49"/>
    <mergeCell ref="C50:D50"/>
    <mergeCell ref="C51:D51"/>
    <mergeCell ref="C52:D52"/>
    <mergeCell ref="A48:B48"/>
    <mergeCell ref="A49:B49"/>
    <mergeCell ref="A50:B50"/>
    <mergeCell ref="A51:B51"/>
    <mergeCell ref="A52:B52"/>
    <mergeCell ref="A64:B64"/>
    <mergeCell ref="A65:B65"/>
    <mergeCell ref="A66:B66"/>
    <mergeCell ref="A67:B67"/>
    <mergeCell ref="C58:D58"/>
    <mergeCell ref="C59:D59"/>
    <mergeCell ref="C60:D60"/>
    <mergeCell ref="C61:D61"/>
    <mergeCell ref="C62:D62"/>
    <mergeCell ref="A58:B58"/>
    <mergeCell ref="A59:B59"/>
    <mergeCell ref="A60:B60"/>
    <mergeCell ref="A61:B61"/>
    <mergeCell ref="A62:B62"/>
    <mergeCell ref="A69:B69"/>
    <mergeCell ref="A70:B70"/>
    <mergeCell ref="A6:E6"/>
    <mergeCell ref="A7:E7"/>
    <mergeCell ref="A8:E8"/>
    <mergeCell ref="A9:E9"/>
    <mergeCell ref="A12:E12"/>
    <mergeCell ref="A13:E13"/>
    <mergeCell ref="A14:E14"/>
    <mergeCell ref="A15:E15"/>
    <mergeCell ref="A18:E18"/>
    <mergeCell ref="A19:E19"/>
    <mergeCell ref="A22:E22"/>
    <mergeCell ref="C68:D68"/>
    <mergeCell ref="C69:D69"/>
    <mergeCell ref="C70:D70"/>
    <mergeCell ref="A28:B28"/>
    <mergeCell ref="A29:B29"/>
    <mergeCell ref="A30:B30"/>
    <mergeCell ref="A31:B31"/>
    <mergeCell ref="A32:B32"/>
    <mergeCell ref="A33:B33"/>
    <mergeCell ref="C67:D67"/>
    <mergeCell ref="A63:B63"/>
    <mergeCell ref="A68:B68"/>
    <mergeCell ref="A34:B34"/>
    <mergeCell ref="A35:B35"/>
    <mergeCell ref="A36:B36"/>
    <mergeCell ref="A37:B37"/>
    <mergeCell ref="A38:B38"/>
    <mergeCell ref="A39:B39"/>
    <mergeCell ref="A40:B40"/>
    <mergeCell ref="C28:D28"/>
    <mergeCell ref="C29:D29"/>
    <mergeCell ref="C30:D30"/>
    <mergeCell ref="C31:D31"/>
    <mergeCell ref="C32:D32"/>
    <mergeCell ref="C33:D33"/>
    <mergeCell ref="C34:D34"/>
    <mergeCell ref="C35:D35"/>
    <mergeCell ref="C37:D37"/>
    <mergeCell ref="C38:D38"/>
    <mergeCell ref="C39:D39"/>
    <mergeCell ref="C40:D40"/>
    <mergeCell ref="C63:D63"/>
    <mergeCell ref="C64:D64"/>
    <mergeCell ref="C65:D65"/>
    <mergeCell ref="C66:D66"/>
  </mergeCells>
  <conditionalFormatting sqref="G25">
    <cfRule type="cellIs" dxfId="23" priority="5" stopIfTrue="1" operator="greaterThanOrEqual">
      <formula>6</formula>
    </cfRule>
    <cfRule type="cellIs" dxfId="22" priority="6" stopIfTrue="1" operator="greaterThanOrEqual">
      <formula>4</formula>
    </cfRule>
    <cfRule type="cellIs" dxfId="21" priority="7" stopIfTrue="1" operator="greaterThanOrEqual">
      <formula>2</formula>
    </cfRule>
    <cfRule type="cellIs" dxfId="20" priority="8" operator="greaterThanOrEqual">
      <formula>0</formula>
    </cfRule>
  </conditionalFormatting>
  <conditionalFormatting sqref="G23">
    <cfRule type="cellIs" dxfId="19" priority="1" stopIfTrue="1" operator="greaterThanOrEqual">
      <formula>6</formula>
    </cfRule>
    <cfRule type="cellIs" dxfId="18" priority="2" stopIfTrue="1" operator="greaterThanOrEqual">
      <formula>4</formula>
    </cfRule>
    <cfRule type="cellIs" dxfId="17" priority="3" stopIfTrue="1" operator="greaterThanOrEqual">
      <formula>2</formula>
    </cfRule>
    <cfRule type="cellIs" dxfId="16" priority="4" operator="greaterThanOrEqual">
      <formula>0</formula>
    </cfRule>
  </conditionalFormatting>
  <pageMargins left="0.75" right="0.75" top="1" bottom="1" header="0.49212598499999999" footer="0.49212598499999999"/>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94"/>
  <sheetViews>
    <sheetView showGridLines="0" zoomScaleNormal="100" workbookViewId="0">
      <selection activeCell="G7" sqref="G7"/>
    </sheetView>
  </sheetViews>
  <sheetFormatPr baseColWidth="10" defaultColWidth="9.1640625" defaultRowHeight="14"/>
  <cols>
    <col min="1" max="1" width="10.83203125" style="41" customWidth="1"/>
    <col min="2" max="3" width="9.33203125" style="41" customWidth="1"/>
    <col min="4" max="4" width="8.5" style="41" customWidth="1"/>
    <col min="5" max="5" width="4.5" style="41" customWidth="1"/>
    <col min="6" max="6" width="14" style="41" customWidth="1"/>
    <col min="7" max="7" width="11.6640625" style="41" customWidth="1"/>
    <col min="8" max="8" width="11.5" style="41" customWidth="1"/>
    <col min="9" max="9" width="4.5" style="41" customWidth="1"/>
    <col min="10" max="10" width="5.1640625" style="41" customWidth="1"/>
    <col min="11" max="11" width="5" style="41" customWidth="1"/>
    <col min="12" max="12" width="4.33203125" style="41" customWidth="1"/>
    <col min="13" max="13" width="5" style="41" customWidth="1"/>
    <col min="14" max="14" width="4.33203125" style="41" customWidth="1"/>
    <col min="15" max="15" width="2.6640625" style="41" customWidth="1"/>
    <col min="16" max="16384" width="9.1640625" style="41"/>
  </cols>
  <sheetData>
    <row r="1" spans="1:16" ht="18">
      <c r="A1" s="184" t="s">
        <v>94</v>
      </c>
      <c r="B1" s="184"/>
      <c r="C1" s="184"/>
      <c r="D1" s="184"/>
      <c r="E1" s="184"/>
      <c r="F1" s="184"/>
      <c r="G1" s="184"/>
      <c r="H1" s="184"/>
      <c r="I1" s="184"/>
      <c r="J1" s="184"/>
      <c r="K1" s="184"/>
      <c r="L1" s="184"/>
      <c r="M1" s="184"/>
      <c r="N1" s="184"/>
      <c r="O1" s="184"/>
      <c r="P1" s="57"/>
    </row>
    <row r="2" spans="1:16" s="42" customFormat="1" ht="40.5" customHeight="1">
      <c r="A2" s="212" t="s">
        <v>214</v>
      </c>
      <c r="B2" s="212"/>
      <c r="C2" s="212"/>
      <c r="D2" s="212"/>
      <c r="E2" s="212"/>
      <c r="F2" s="212"/>
      <c r="G2" s="212"/>
      <c r="H2" s="212"/>
      <c r="I2" s="212"/>
      <c r="J2" s="212"/>
      <c r="K2" s="212"/>
      <c r="L2" s="212"/>
      <c r="M2" s="212"/>
      <c r="N2" s="212"/>
      <c r="O2" s="212"/>
      <c r="P2" s="58"/>
    </row>
    <row r="3" spans="1:16" s="42" customFormat="1" ht="16">
      <c r="A3" s="213" t="s">
        <v>139</v>
      </c>
      <c r="B3" s="214"/>
      <c r="C3" s="214"/>
      <c r="D3" s="214"/>
      <c r="E3" s="214"/>
      <c r="F3" s="214"/>
      <c r="G3" s="214"/>
      <c r="H3" s="214"/>
      <c r="I3" s="214"/>
      <c r="J3" s="214"/>
      <c r="K3" s="214"/>
      <c r="L3" s="214"/>
      <c r="M3" s="214"/>
      <c r="N3" s="214"/>
      <c r="O3" s="214"/>
      <c r="P3" s="59"/>
    </row>
    <row r="4" spans="1:16" s="42" customFormat="1" ht="6" customHeight="1"/>
    <row r="5" spans="1:16" s="42" customFormat="1" ht="15.75" customHeight="1">
      <c r="A5" s="188" t="s">
        <v>16</v>
      </c>
      <c r="B5" s="188"/>
      <c r="C5" s="188"/>
      <c r="D5" s="188"/>
      <c r="E5" s="188"/>
      <c r="F5" s="188"/>
      <c r="G5" s="188"/>
      <c r="H5" s="188"/>
      <c r="I5" s="6"/>
      <c r="J5" s="187" t="s">
        <v>51</v>
      </c>
      <c r="K5" s="187"/>
      <c r="L5" s="187"/>
      <c r="M5" s="187"/>
      <c r="N5" s="187"/>
      <c r="O5" s="187"/>
    </row>
    <row r="6" spans="1:16" s="42" customFormat="1" ht="15.75" customHeight="1">
      <c r="A6" s="215" t="s">
        <v>105</v>
      </c>
      <c r="B6" s="215"/>
      <c r="C6" s="215"/>
      <c r="D6" s="215"/>
      <c r="E6" s="215"/>
      <c r="F6" s="11" t="s">
        <v>100</v>
      </c>
      <c r="G6" s="153">
        <v>500</v>
      </c>
      <c r="H6" s="10" t="s">
        <v>44</v>
      </c>
      <c r="I6" s="7"/>
      <c r="J6" s="217"/>
      <c r="K6" s="208"/>
      <c r="L6" s="208"/>
      <c r="M6" s="208"/>
      <c r="N6" s="208"/>
      <c r="O6" s="208"/>
    </row>
    <row r="7" spans="1:16" s="42" customFormat="1" ht="15.75" customHeight="1">
      <c r="A7" s="171" t="s">
        <v>106</v>
      </c>
      <c r="B7" s="171"/>
      <c r="C7" s="171"/>
      <c r="D7" s="171"/>
      <c r="E7" s="171"/>
      <c r="F7" s="11" t="s">
        <v>101</v>
      </c>
      <c r="G7" s="154">
        <v>1</v>
      </c>
      <c r="H7" s="10" t="s">
        <v>29</v>
      </c>
      <c r="I7" s="7"/>
      <c r="J7" s="218"/>
      <c r="K7" s="208"/>
      <c r="L7" s="208"/>
      <c r="M7" s="208"/>
      <c r="N7" s="208"/>
      <c r="O7" s="208"/>
    </row>
    <row r="8" spans="1:16" s="42" customFormat="1" ht="15.75" customHeight="1">
      <c r="A8" s="171" t="s">
        <v>107</v>
      </c>
      <c r="B8" s="171"/>
      <c r="C8" s="171"/>
      <c r="D8" s="171"/>
      <c r="E8" s="171"/>
      <c r="F8" s="11" t="s">
        <v>102</v>
      </c>
      <c r="G8" s="154">
        <v>0</v>
      </c>
      <c r="H8" s="10" t="s">
        <v>29</v>
      </c>
      <c r="I8" s="7"/>
      <c r="J8" s="190" t="s">
        <v>226</v>
      </c>
      <c r="K8" s="190"/>
      <c r="L8" s="190"/>
      <c r="M8" s="190"/>
      <c r="N8" s="190"/>
      <c r="O8" s="219"/>
    </row>
    <row r="9" spans="1:16" s="42" customFormat="1" ht="15.75" customHeight="1">
      <c r="A9" s="171" t="s">
        <v>104</v>
      </c>
      <c r="B9" s="171"/>
      <c r="C9" s="171"/>
      <c r="D9" s="171"/>
      <c r="E9" s="171"/>
      <c r="F9" s="11" t="s">
        <v>103</v>
      </c>
      <c r="G9" s="154">
        <v>27</v>
      </c>
      <c r="H9" s="27" t="s">
        <v>7</v>
      </c>
      <c r="I9" s="7"/>
      <c r="J9" s="219"/>
      <c r="K9" s="219"/>
      <c r="L9" s="219"/>
      <c r="M9" s="219"/>
      <c r="N9" s="219"/>
      <c r="O9" s="219"/>
    </row>
    <row r="10" spans="1:16" s="42" customFormat="1" ht="8.25" customHeight="1">
      <c r="A10" s="43"/>
      <c r="B10" s="43"/>
      <c r="C10" s="43"/>
      <c r="D10" s="43"/>
      <c r="E10" s="43"/>
    </row>
    <row r="11" spans="1:16" s="42" customFormat="1" ht="15.75" customHeight="1">
      <c r="A11" s="189" t="s">
        <v>95</v>
      </c>
      <c r="B11" s="189"/>
      <c r="C11" s="189"/>
      <c r="D11" s="189"/>
      <c r="E11" s="189"/>
      <c r="F11" s="189"/>
      <c r="G11" s="189"/>
      <c r="H11" s="189"/>
      <c r="I11" s="48"/>
      <c r="J11" s="193"/>
      <c r="K11" s="193"/>
      <c r="L11" s="193"/>
      <c r="M11" s="193"/>
      <c r="N11" s="193"/>
      <c r="O11" s="193"/>
    </row>
    <row r="12" spans="1:16" s="42" customFormat="1" ht="15.75" customHeight="1">
      <c r="A12" s="216" t="s">
        <v>135</v>
      </c>
      <c r="B12" s="216"/>
      <c r="C12" s="216"/>
      <c r="D12" s="216"/>
      <c r="E12" s="216"/>
      <c r="F12" s="50" t="s">
        <v>114</v>
      </c>
      <c r="G12" s="155">
        <v>3</v>
      </c>
      <c r="H12" s="49" t="s">
        <v>5</v>
      </c>
      <c r="J12" s="194"/>
      <c r="K12" s="194"/>
      <c r="L12" s="194"/>
      <c r="M12" s="194"/>
      <c r="N12" s="194"/>
      <c r="O12" s="194"/>
    </row>
    <row r="13" spans="1:16" s="42" customFormat="1" ht="15.75" customHeight="1">
      <c r="A13" s="216" t="s">
        <v>32</v>
      </c>
      <c r="B13" s="216"/>
      <c r="C13" s="216"/>
      <c r="D13" s="216"/>
      <c r="E13" s="216"/>
      <c r="F13" s="50" t="s">
        <v>96</v>
      </c>
      <c r="G13" s="156">
        <v>1.8</v>
      </c>
      <c r="H13" s="126" t="s">
        <v>213</v>
      </c>
      <c r="J13" s="195" t="s">
        <v>239</v>
      </c>
      <c r="K13" s="195"/>
      <c r="L13" s="195"/>
      <c r="M13" s="195"/>
      <c r="N13" s="195"/>
      <c r="O13" s="195"/>
    </row>
    <row r="14" spans="1:16" s="42" customFormat="1" ht="15.75" customHeight="1">
      <c r="A14" s="216" t="s">
        <v>136</v>
      </c>
      <c r="B14" s="216"/>
      <c r="C14" s="216"/>
      <c r="D14" s="216"/>
      <c r="E14" s="216"/>
      <c r="F14" s="50" t="s">
        <v>97</v>
      </c>
      <c r="G14" s="157">
        <v>0.05</v>
      </c>
      <c r="H14" s="126" t="s">
        <v>213</v>
      </c>
      <c r="J14" s="195" t="s">
        <v>239</v>
      </c>
      <c r="K14" s="195"/>
      <c r="L14" s="195"/>
      <c r="M14" s="195"/>
      <c r="N14" s="195"/>
      <c r="O14" s="195"/>
    </row>
    <row r="15" spans="1:16" s="60" customFormat="1" ht="7.5" customHeight="1">
      <c r="F15" s="61"/>
      <c r="O15" s="43"/>
      <c r="P15" s="42"/>
    </row>
    <row r="16" spans="1:16" s="42" customFormat="1" ht="15.75" customHeight="1">
      <c r="A16" s="189" t="s">
        <v>46</v>
      </c>
      <c r="B16" s="189"/>
      <c r="C16" s="189"/>
      <c r="D16" s="189"/>
      <c r="E16" s="189"/>
      <c r="F16" s="189"/>
      <c r="G16" s="189"/>
      <c r="H16" s="189"/>
      <c r="J16" s="194"/>
      <c r="K16" s="194"/>
      <c r="L16" s="194"/>
      <c r="M16" s="194"/>
      <c r="N16" s="194"/>
      <c r="O16" s="194"/>
    </row>
    <row r="17" spans="1:16" s="42" customFormat="1" ht="15.75" customHeight="1">
      <c r="A17" s="198" t="s">
        <v>48</v>
      </c>
      <c r="B17" s="198"/>
      <c r="C17" s="198"/>
      <c r="D17" s="198"/>
      <c r="E17" s="198"/>
      <c r="F17" s="31" t="s">
        <v>24</v>
      </c>
      <c r="G17" s="146">
        <v>2</v>
      </c>
      <c r="H17" s="30" t="s">
        <v>5</v>
      </c>
      <c r="J17" s="194"/>
      <c r="K17" s="194"/>
      <c r="L17" s="194"/>
      <c r="M17" s="194"/>
      <c r="N17" s="194"/>
      <c r="O17" s="194"/>
      <c r="P17" s="46"/>
    </row>
    <row r="18" spans="1:16" s="42" customFormat="1" ht="15.75" customHeight="1">
      <c r="A18" s="198" t="s">
        <v>49</v>
      </c>
      <c r="B18" s="198"/>
      <c r="C18" s="198"/>
      <c r="D18" s="198"/>
      <c r="E18" s="198"/>
      <c r="F18" s="31" t="s">
        <v>50</v>
      </c>
      <c r="G18" s="145">
        <v>25</v>
      </c>
      <c r="H18" s="30" t="s">
        <v>5</v>
      </c>
      <c r="J18" s="194"/>
      <c r="K18" s="194"/>
      <c r="L18" s="194"/>
      <c r="M18" s="194"/>
      <c r="N18" s="194"/>
      <c r="O18" s="194"/>
    </row>
    <row r="19" spans="1:16" s="64" customFormat="1" ht="9" customHeight="1">
      <c r="O19" s="42"/>
      <c r="P19" s="42"/>
    </row>
    <row r="20" spans="1:16" s="64" customFormat="1" ht="15.75" customHeight="1">
      <c r="A20" s="199" t="s">
        <v>123</v>
      </c>
      <c r="B20" s="199"/>
      <c r="C20" s="199"/>
      <c r="D20" s="199"/>
      <c r="E20" s="199"/>
      <c r="F20" s="199"/>
      <c r="G20" s="199"/>
      <c r="H20" s="199"/>
      <c r="J20" s="204"/>
      <c r="K20" s="204"/>
      <c r="L20" s="204"/>
      <c r="M20" s="204"/>
      <c r="N20" s="204"/>
      <c r="O20" s="204"/>
      <c r="P20" s="42"/>
    </row>
    <row r="21" spans="1:16" s="64" customFormat="1" ht="15.75" customHeight="1">
      <c r="A21" s="201" t="s">
        <v>124</v>
      </c>
      <c r="B21" s="201"/>
      <c r="C21" s="201"/>
      <c r="D21" s="201"/>
      <c r="E21" s="201"/>
      <c r="F21" s="66"/>
      <c r="G21" s="67"/>
      <c r="H21" s="67"/>
      <c r="J21" s="204"/>
      <c r="K21" s="204"/>
      <c r="L21" s="204"/>
      <c r="M21" s="204"/>
      <c r="N21" s="204"/>
      <c r="O21" s="204"/>
      <c r="P21" s="42"/>
    </row>
    <row r="22" spans="1:16" s="64" customFormat="1" ht="12.75" customHeight="1">
      <c r="A22" s="200" t="s">
        <v>236</v>
      </c>
      <c r="B22" s="200"/>
      <c r="C22" s="200"/>
      <c r="D22" s="200"/>
      <c r="E22" s="200"/>
      <c r="F22" s="69" t="s">
        <v>96</v>
      </c>
      <c r="G22" s="36">
        <v>0.65</v>
      </c>
      <c r="H22" s="67" t="s">
        <v>30</v>
      </c>
      <c r="J22" s="196" t="s">
        <v>240</v>
      </c>
      <c r="K22" s="196"/>
      <c r="L22" s="196"/>
      <c r="M22" s="196"/>
      <c r="N22" s="196"/>
      <c r="O22" s="196"/>
      <c r="P22" s="42"/>
    </row>
    <row r="23" spans="1:16" s="64" customFormat="1" ht="12.75" customHeight="1">
      <c r="A23" s="200" t="s">
        <v>237</v>
      </c>
      <c r="B23" s="200"/>
      <c r="C23" s="200"/>
      <c r="D23" s="200"/>
      <c r="E23" s="200"/>
      <c r="F23" s="69" t="s">
        <v>96</v>
      </c>
      <c r="G23" s="65">
        <v>1</v>
      </c>
      <c r="H23" s="67" t="s">
        <v>30</v>
      </c>
      <c r="J23" s="196"/>
      <c r="K23" s="196"/>
      <c r="L23" s="196"/>
      <c r="M23" s="196"/>
      <c r="N23" s="196"/>
      <c r="O23" s="196"/>
      <c r="P23" s="42"/>
    </row>
    <row r="24" spans="1:16" s="64" customFormat="1" ht="12.75" customHeight="1">
      <c r="A24" s="200" t="s">
        <v>238</v>
      </c>
      <c r="B24" s="200"/>
      <c r="C24" s="200"/>
      <c r="D24" s="200"/>
      <c r="E24" s="200"/>
      <c r="F24" s="69" t="s">
        <v>96</v>
      </c>
      <c r="G24" s="65">
        <v>1.6</v>
      </c>
      <c r="H24" s="67" t="s">
        <v>30</v>
      </c>
      <c r="J24" s="207"/>
      <c r="K24" s="208"/>
      <c r="L24" s="208"/>
      <c r="M24" s="208"/>
      <c r="N24" s="208"/>
      <c r="O24" s="208"/>
    </row>
    <row r="25" spans="1:16" s="64" customFormat="1" ht="12.75" customHeight="1">
      <c r="A25" s="200" t="s">
        <v>235</v>
      </c>
      <c r="B25" s="200"/>
      <c r="C25" s="200"/>
      <c r="D25" s="200"/>
      <c r="E25" s="200"/>
      <c r="F25" s="69" t="s">
        <v>96</v>
      </c>
      <c r="G25" s="65">
        <v>1.8</v>
      </c>
      <c r="H25" s="67" t="s">
        <v>30</v>
      </c>
      <c r="J25" s="207"/>
      <c r="K25" s="208"/>
      <c r="L25" s="208"/>
      <c r="M25" s="208"/>
      <c r="N25" s="208"/>
      <c r="O25" s="208"/>
    </row>
    <row r="26" spans="1:16" s="64" customFormat="1" ht="4.5" customHeight="1">
      <c r="A26" s="200"/>
      <c r="B26" s="200"/>
      <c r="C26" s="200"/>
      <c r="D26" s="200"/>
      <c r="E26" s="200"/>
      <c r="F26" s="69"/>
      <c r="G26" s="68"/>
      <c r="H26" s="67"/>
      <c r="J26" s="207"/>
      <c r="K26" s="208"/>
      <c r="L26" s="208"/>
      <c r="M26" s="208"/>
      <c r="N26" s="208"/>
      <c r="O26" s="208"/>
    </row>
    <row r="27" spans="1:16" s="64" customFormat="1" ht="15.75" customHeight="1">
      <c r="A27" s="201" t="s">
        <v>137</v>
      </c>
      <c r="B27" s="201"/>
      <c r="C27" s="201"/>
      <c r="D27" s="201"/>
      <c r="E27" s="201"/>
      <c r="F27" s="66"/>
      <c r="G27" s="68"/>
      <c r="H27" s="67"/>
      <c r="J27" s="207"/>
      <c r="K27" s="208"/>
      <c r="L27" s="208"/>
      <c r="M27" s="208"/>
      <c r="N27" s="208"/>
      <c r="O27" s="208"/>
    </row>
    <row r="28" spans="1:16" s="64" customFormat="1" ht="12.75" customHeight="1">
      <c r="A28" s="200" t="s">
        <v>33</v>
      </c>
      <c r="B28" s="200"/>
      <c r="C28" s="200"/>
      <c r="D28" s="200"/>
      <c r="E28" s="200"/>
      <c r="F28" s="69" t="s">
        <v>97</v>
      </c>
      <c r="G28" s="36">
        <v>0.7</v>
      </c>
      <c r="H28" s="67" t="s">
        <v>30</v>
      </c>
      <c r="J28" s="207"/>
      <c r="K28" s="208"/>
      <c r="L28" s="208"/>
      <c r="M28" s="208"/>
      <c r="N28" s="208"/>
      <c r="O28" s="208"/>
    </row>
    <row r="29" spans="1:16" s="64" customFormat="1" ht="12.75" customHeight="1">
      <c r="A29" s="200" t="s">
        <v>34</v>
      </c>
      <c r="B29" s="200"/>
      <c r="C29" s="200"/>
      <c r="D29" s="200"/>
      <c r="E29" s="200"/>
      <c r="F29" s="69" t="s">
        <v>97</v>
      </c>
      <c r="G29" s="36">
        <v>0.8</v>
      </c>
      <c r="H29" s="67" t="s">
        <v>30</v>
      </c>
      <c r="J29" s="207"/>
      <c r="K29" s="208"/>
      <c r="L29" s="208"/>
      <c r="M29" s="208"/>
      <c r="N29" s="208"/>
      <c r="O29" s="208"/>
    </row>
    <row r="30" spans="1:16" s="64" customFormat="1" ht="12.75" customHeight="1">
      <c r="A30" s="200" t="s">
        <v>35</v>
      </c>
      <c r="B30" s="200"/>
      <c r="C30" s="200"/>
      <c r="D30" s="200"/>
      <c r="E30" s="200"/>
      <c r="F30" s="69" t="s">
        <v>97</v>
      </c>
      <c r="G30" s="36">
        <v>0.6</v>
      </c>
      <c r="H30" s="67" t="s">
        <v>30</v>
      </c>
      <c r="J30" s="207"/>
      <c r="K30" s="208"/>
      <c r="L30" s="208"/>
      <c r="M30" s="208"/>
      <c r="N30" s="208"/>
      <c r="O30" s="208"/>
    </row>
    <row r="31" spans="1:16" s="64" customFormat="1" ht="12.75" customHeight="1">
      <c r="A31" s="200" t="s">
        <v>36</v>
      </c>
      <c r="B31" s="200"/>
      <c r="C31" s="200"/>
      <c r="D31" s="200"/>
      <c r="E31" s="200"/>
      <c r="F31" s="69" t="s">
        <v>97</v>
      </c>
      <c r="G31" s="36">
        <v>0.75</v>
      </c>
      <c r="H31" s="67" t="s">
        <v>30</v>
      </c>
      <c r="J31" s="204"/>
      <c r="K31" s="204"/>
      <c r="L31" s="204"/>
      <c r="M31" s="204"/>
      <c r="N31" s="204"/>
      <c r="O31" s="204"/>
    </row>
    <row r="32" spans="1:16" s="64" customFormat="1" ht="12.75" customHeight="1">
      <c r="A32" s="200" t="s">
        <v>37</v>
      </c>
      <c r="B32" s="200"/>
      <c r="C32" s="200"/>
      <c r="D32" s="200"/>
      <c r="E32" s="200"/>
      <c r="F32" s="69" t="s">
        <v>97</v>
      </c>
      <c r="G32" s="36">
        <v>0.45</v>
      </c>
      <c r="H32" s="67" t="s">
        <v>30</v>
      </c>
      <c r="J32" s="204"/>
      <c r="K32" s="204"/>
      <c r="L32" s="204"/>
      <c r="M32" s="204"/>
      <c r="N32" s="204"/>
      <c r="O32" s="204"/>
    </row>
    <row r="33" spans="1:20" s="64" customFormat="1" ht="12.75" customHeight="1">
      <c r="A33" s="200" t="s">
        <v>38</v>
      </c>
      <c r="B33" s="200"/>
      <c r="C33" s="200"/>
      <c r="D33" s="200"/>
      <c r="E33" s="200"/>
      <c r="F33" s="69" t="s">
        <v>97</v>
      </c>
      <c r="G33" s="36">
        <v>0.75</v>
      </c>
      <c r="H33" s="67" t="s">
        <v>30</v>
      </c>
      <c r="J33" s="204"/>
      <c r="K33" s="204"/>
      <c r="L33" s="204"/>
      <c r="M33" s="204"/>
      <c r="N33" s="204"/>
      <c r="O33" s="204"/>
    </row>
    <row r="34" spans="1:20" s="64" customFormat="1" ht="12.75" customHeight="1">
      <c r="A34" s="200" t="s">
        <v>39</v>
      </c>
      <c r="B34" s="200"/>
      <c r="C34" s="200"/>
      <c r="D34" s="200"/>
      <c r="E34" s="200"/>
      <c r="F34" s="69" t="s">
        <v>97</v>
      </c>
      <c r="G34" s="36">
        <v>1</v>
      </c>
      <c r="H34" s="67" t="s">
        <v>30</v>
      </c>
      <c r="J34" s="204"/>
      <c r="K34" s="204"/>
      <c r="L34" s="204"/>
      <c r="M34" s="204"/>
      <c r="N34" s="204"/>
      <c r="O34" s="204"/>
    </row>
    <row r="35" spans="1:20" s="64" customFormat="1" ht="12.75" customHeight="1">
      <c r="A35" s="200" t="s">
        <v>40</v>
      </c>
      <c r="B35" s="200"/>
      <c r="C35" s="200"/>
      <c r="D35" s="200"/>
      <c r="E35" s="200"/>
      <c r="F35" s="69" t="s">
        <v>97</v>
      </c>
      <c r="G35" s="36">
        <v>0.8</v>
      </c>
      <c r="H35" s="67" t="s">
        <v>30</v>
      </c>
      <c r="J35" s="204"/>
      <c r="K35" s="204"/>
      <c r="L35" s="204"/>
      <c r="M35" s="204"/>
      <c r="N35" s="204"/>
      <c r="O35" s="204"/>
    </row>
    <row r="36" spans="1:20" s="64" customFormat="1" ht="12.75" customHeight="1">
      <c r="A36" s="200" t="s">
        <v>41</v>
      </c>
      <c r="B36" s="200"/>
      <c r="C36" s="200"/>
      <c r="D36" s="200"/>
      <c r="E36" s="200"/>
      <c r="F36" s="69" t="s">
        <v>97</v>
      </c>
      <c r="G36" s="36">
        <v>0.05</v>
      </c>
      <c r="H36" s="67" t="s">
        <v>30</v>
      </c>
      <c r="J36" s="204"/>
      <c r="K36" s="204"/>
      <c r="L36" s="204"/>
      <c r="M36" s="204"/>
      <c r="N36" s="204"/>
      <c r="O36" s="204"/>
    </row>
    <row r="37" spans="1:20" s="42" customFormat="1" ht="6.75" customHeight="1"/>
    <row r="38" spans="1:20" s="42" customFormat="1" ht="15.75" customHeight="1">
      <c r="A38" s="52" t="s">
        <v>220</v>
      </c>
      <c r="B38" s="52"/>
      <c r="C38" s="52"/>
      <c r="D38" s="52"/>
      <c r="E38" s="52"/>
      <c r="F38" s="52"/>
      <c r="G38" s="52"/>
      <c r="H38" s="52"/>
      <c r="I38" s="53"/>
      <c r="J38" s="53"/>
      <c r="K38" s="53"/>
      <c r="L38" s="53"/>
    </row>
    <row r="39" spans="1:20" s="42" customFormat="1" ht="15.75" customHeight="1">
      <c r="A39" s="206" t="s">
        <v>22</v>
      </c>
      <c r="B39" s="206"/>
      <c r="C39" s="206"/>
      <c r="D39" s="206"/>
      <c r="E39" s="206"/>
      <c r="F39" s="18" t="s">
        <v>47</v>
      </c>
      <c r="G39" s="38">
        <f>worksheet!W51</f>
        <v>0.11574074074074074</v>
      </c>
      <c r="H39" s="17" t="s">
        <v>6</v>
      </c>
      <c r="I39" s="37"/>
      <c r="J39" s="8"/>
    </row>
    <row r="40" spans="1:20" s="42" customFormat="1" ht="15.75" customHeight="1">
      <c r="A40" s="205" t="s">
        <v>31</v>
      </c>
      <c r="B40" s="205"/>
      <c r="C40" s="205"/>
      <c r="D40" s="205"/>
      <c r="E40" s="205"/>
      <c r="F40" s="56" t="s">
        <v>113</v>
      </c>
      <c r="G40" s="38">
        <f>worksheet!W50</f>
        <v>0.9175004179388262</v>
      </c>
      <c r="H40" s="55" t="s">
        <v>29</v>
      </c>
      <c r="I40" s="37"/>
      <c r="J40" s="8"/>
    </row>
    <row r="41" spans="1:20" s="42" customFormat="1" ht="15.75" customHeight="1">
      <c r="A41" s="205" t="s">
        <v>109</v>
      </c>
      <c r="B41" s="205"/>
      <c r="C41" s="205"/>
      <c r="D41" s="205"/>
      <c r="E41" s="205"/>
      <c r="F41" s="56" t="s">
        <v>111</v>
      </c>
      <c r="G41" s="122">
        <f>worksheet!W49</f>
        <v>1.9175004179388262</v>
      </c>
      <c r="H41" s="55" t="s">
        <v>29</v>
      </c>
    </row>
    <row r="42" spans="1:20" s="42" customFormat="1" ht="15.75" customHeight="1">
      <c r="A42" s="211" t="s">
        <v>219</v>
      </c>
      <c r="B42" s="211"/>
      <c r="C42" s="211"/>
      <c r="D42" s="211"/>
      <c r="E42" s="211"/>
      <c r="F42" s="16" t="s">
        <v>225</v>
      </c>
      <c r="G42" s="139">
        <f>MIN(E47:E87)</f>
        <v>1.9175004179388262</v>
      </c>
      <c r="H42" s="9" t="s">
        <v>29</v>
      </c>
    </row>
    <row r="43" spans="1:20" s="42" customFormat="1" ht="11.25" customHeight="1">
      <c r="A43" s="8"/>
      <c r="B43" s="8"/>
      <c r="C43" s="8"/>
      <c r="D43" s="8"/>
      <c r="E43" s="8"/>
      <c r="F43" s="8"/>
      <c r="G43" s="8"/>
      <c r="H43" s="8"/>
      <c r="I43" s="8"/>
      <c r="J43" s="13"/>
      <c r="K43" s="15"/>
      <c r="L43" s="8"/>
      <c r="M43" s="6"/>
      <c r="N43" s="6"/>
      <c r="O43" s="63"/>
    </row>
    <row r="44" spans="1:20" s="42" customFormat="1" ht="15.75" customHeight="1">
      <c r="A44" s="202" t="s">
        <v>223</v>
      </c>
      <c r="B44" s="202"/>
      <c r="C44" s="202"/>
      <c r="D44" s="202"/>
      <c r="E44" s="202"/>
      <c r="F44" s="202"/>
      <c r="G44" s="202"/>
      <c r="H44" s="202"/>
      <c r="I44" s="8"/>
      <c r="J44" s="13"/>
      <c r="K44" s="15"/>
      <c r="L44" s="8"/>
      <c r="M44" s="6"/>
      <c r="N44" s="6"/>
      <c r="O44" s="63"/>
    </row>
    <row r="45" spans="1:20" s="42" customFormat="1" ht="15.75" customHeight="1">
      <c r="A45" s="203" t="s">
        <v>11</v>
      </c>
      <c r="B45" s="203"/>
      <c r="C45" s="203" t="s">
        <v>12</v>
      </c>
      <c r="D45" s="203"/>
      <c r="E45" s="203" t="s">
        <v>89</v>
      </c>
      <c r="F45" s="203"/>
      <c r="H45" s="70"/>
      <c r="I45" s="60"/>
      <c r="J45" s="70"/>
      <c r="K45" s="6"/>
      <c r="L45" s="6"/>
      <c r="M45" s="8"/>
    </row>
    <row r="46" spans="1:20" s="42" customFormat="1" ht="15.75" customHeight="1">
      <c r="A46" s="203" t="s">
        <v>21</v>
      </c>
      <c r="B46" s="203"/>
      <c r="C46" s="203" t="s">
        <v>20</v>
      </c>
      <c r="D46" s="203"/>
      <c r="E46" s="203" t="s">
        <v>88</v>
      </c>
      <c r="F46" s="203"/>
      <c r="H46" s="70"/>
      <c r="I46" s="60"/>
      <c r="J46" s="70"/>
      <c r="K46" s="6"/>
      <c r="L46" s="6"/>
      <c r="M46" s="6"/>
    </row>
    <row r="47" spans="1:20" s="42" customFormat="1" ht="15.75" customHeight="1">
      <c r="A47" s="210">
        <f>worksheet!Q60</f>
        <v>0</v>
      </c>
      <c r="B47" s="210"/>
      <c r="C47" s="209">
        <f>worksheet!S60</f>
        <v>0</v>
      </c>
      <c r="D47" s="209"/>
      <c r="E47" s="197">
        <f>worksheet!W60</f>
        <v>1.9175004179388262</v>
      </c>
      <c r="F47" s="197"/>
      <c r="H47" s="71"/>
      <c r="I47" s="60"/>
      <c r="J47" s="72"/>
      <c r="K47" s="6"/>
      <c r="L47" s="6"/>
      <c r="M47" s="6"/>
      <c r="N47" s="63"/>
      <c r="O47" s="63"/>
      <c r="P47" s="63"/>
      <c r="Q47" s="63"/>
      <c r="R47" s="13"/>
      <c r="S47" s="62"/>
      <c r="T47" s="8"/>
    </row>
    <row r="48" spans="1:20" s="42" customFormat="1" ht="15.75" customHeight="1">
      <c r="A48" s="210">
        <f>worksheet!Q61</f>
        <v>0.5</v>
      </c>
      <c r="B48" s="210"/>
      <c r="C48" s="209">
        <f>worksheet!S61</f>
        <v>5</v>
      </c>
      <c r="D48" s="209"/>
      <c r="E48" s="197">
        <f>worksheet!W61</f>
        <v>3.3670230430144077</v>
      </c>
      <c r="F48" s="197"/>
      <c r="H48" s="6"/>
      <c r="I48" s="60"/>
      <c r="J48" s="72"/>
      <c r="K48" s="6"/>
      <c r="L48" s="6"/>
      <c r="M48" s="6"/>
      <c r="N48" s="63"/>
      <c r="O48" s="63"/>
      <c r="P48" s="63"/>
      <c r="Q48" s="63"/>
      <c r="R48" s="13"/>
      <c r="S48" s="15"/>
      <c r="T48" s="8"/>
    </row>
    <row r="49" spans="1:20" s="42" customFormat="1" ht="15.75" customHeight="1">
      <c r="A49" s="210">
        <f>worksheet!Q62</f>
        <v>1</v>
      </c>
      <c r="B49" s="210"/>
      <c r="C49" s="209">
        <f>worksheet!S62</f>
        <v>10</v>
      </c>
      <c r="D49" s="209"/>
      <c r="E49" s="197">
        <f>worksheet!W62</f>
        <v>4.4636051669890051</v>
      </c>
      <c r="F49" s="197"/>
      <c r="H49" s="71"/>
      <c r="I49" s="60"/>
      <c r="J49" s="72"/>
      <c r="K49" s="6"/>
      <c r="L49" s="6"/>
      <c r="M49" s="6"/>
      <c r="N49" s="63"/>
      <c r="O49" s="63"/>
      <c r="P49" s="63"/>
      <c r="Q49" s="63"/>
      <c r="R49" s="13"/>
      <c r="S49" s="15"/>
      <c r="T49" s="8"/>
    </row>
    <row r="50" spans="1:20" s="42" customFormat="1" ht="15.75" customHeight="1">
      <c r="A50" s="210">
        <f>worksheet!Q63</f>
        <v>1.5</v>
      </c>
      <c r="B50" s="210"/>
      <c r="C50" s="209">
        <f>worksheet!S63</f>
        <v>15</v>
      </c>
      <c r="D50" s="209"/>
      <c r="E50" s="197">
        <f>worksheet!W63</f>
        <v>5.2931833562621398</v>
      </c>
      <c r="F50" s="197"/>
      <c r="H50"/>
      <c r="I50" s="60"/>
      <c r="J50" s="72"/>
      <c r="K50" s="6"/>
      <c r="M50" s="6"/>
      <c r="N50" s="63"/>
      <c r="O50" s="63"/>
      <c r="P50" s="63"/>
      <c r="Q50" s="63"/>
      <c r="R50" s="13"/>
      <c r="S50" s="15"/>
      <c r="T50" s="8"/>
    </row>
    <row r="51" spans="1:20" s="42" customFormat="1" ht="15.75" customHeight="1">
      <c r="A51" s="210">
        <f>worksheet!Q64</f>
        <v>2</v>
      </c>
      <c r="B51" s="210"/>
      <c r="C51" s="209">
        <f>worksheet!S64</f>
        <v>20</v>
      </c>
      <c r="D51" s="209"/>
      <c r="E51" s="197">
        <f>worksheet!W64</f>
        <v>5.9207697057671709</v>
      </c>
      <c r="F51" s="197"/>
      <c r="H51" s="71"/>
      <c r="I51" s="60"/>
      <c r="J51" s="72"/>
      <c r="K51" s="6"/>
      <c r="L51" s="6"/>
      <c r="M51" s="6"/>
      <c r="N51" s="63"/>
      <c r="O51" s="63"/>
      <c r="P51" s="63"/>
      <c r="Q51" s="63"/>
      <c r="R51" s="13"/>
      <c r="S51" s="15"/>
      <c r="T51" s="8"/>
    </row>
    <row r="52" spans="1:20" s="42" customFormat="1" ht="15.75" customHeight="1">
      <c r="A52" s="210">
        <f>worksheet!Q65</f>
        <v>2.5</v>
      </c>
      <c r="B52" s="210"/>
      <c r="C52" s="209">
        <f>worksheet!S65</f>
        <v>25</v>
      </c>
      <c r="D52" s="209"/>
      <c r="E52" s="197">
        <f>worksheet!W65</f>
        <v>6.3955466842098554</v>
      </c>
      <c r="F52" s="197"/>
      <c r="H52" s="71"/>
      <c r="I52" s="60"/>
      <c r="J52" s="72"/>
      <c r="K52" s="6"/>
      <c r="L52" s="6"/>
      <c r="M52" s="6"/>
      <c r="N52" s="8"/>
      <c r="O52" s="37"/>
      <c r="P52" s="8"/>
      <c r="Q52" s="60"/>
      <c r="R52" s="60"/>
      <c r="S52" s="60"/>
      <c r="T52" s="60"/>
    </row>
    <row r="53" spans="1:20" s="42" customFormat="1" ht="15.75" customHeight="1">
      <c r="A53" s="210">
        <f>worksheet!Q66</f>
        <v>3</v>
      </c>
      <c r="B53" s="210"/>
      <c r="C53" s="209">
        <f>worksheet!S66</f>
        <v>30</v>
      </c>
      <c r="D53" s="209"/>
      <c r="E53" s="197">
        <f>worksheet!W66</f>
        <v>6.7547214486656868</v>
      </c>
      <c r="F53" s="197"/>
      <c r="H53" s="71"/>
      <c r="I53" s="60"/>
      <c r="J53" s="72"/>
      <c r="K53" s="6"/>
      <c r="L53" s="6"/>
      <c r="M53" s="6"/>
      <c r="N53" s="6"/>
      <c r="O53" s="62"/>
      <c r="P53" s="8"/>
    </row>
    <row r="54" spans="1:20" s="42" customFormat="1" ht="15.75" customHeight="1">
      <c r="A54" s="210">
        <f>worksheet!Q67</f>
        <v>3.5</v>
      </c>
      <c r="B54" s="210"/>
      <c r="C54" s="209">
        <f>worksheet!S67</f>
        <v>35</v>
      </c>
      <c r="D54" s="209"/>
      <c r="E54" s="197">
        <f>worksheet!W67</f>
        <v>7.0264416821215221</v>
      </c>
      <c r="F54" s="197"/>
      <c r="H54" s="71"/>
      <c r="I54" s="60"/>
      <c r="J54" s="72"/>
      <c r="K54" s="6"/>
      <c r="L54" s="6"/>
      <c r="M54" s="6"/>
      <c r="N54" s="6"/>
      <c r="O54" s="15"/>
      <c r="P54" s="8"/>
    </row>
    <row r="55" spans="1:20" s="42" customFormat="1" ht="15.75" customHeight="1">
      <c r="A55" s="210">
        <f>worksheet!Q68</f>
        <v>4</v>
      </c>
      <c r="B55" s="210"/>
      <c r="C55" s="209">
        <f>worksheet!S68</f>
        <v>40</v>
      </c>
      <c r="D55" s="209"/>
      <c r="E55" s="197">
        <f>worksheet!W68</f>
        <v>7.2320014613035379</v>
      </c>
      <c r="F55" s="197"/>
      <c r="H55" s="71"/>
      <c r="I55" s="60"/>
      <c r="J55" s="72"/>
      <c r="K55" s="6"/>
      <c r="L55" s="6"/>
      <c r="M55" s="6"/>
      <c r="N55" s="6"/>
      <c r="O55" s="15"/>
      <c r="P55" s="8"/>
    </row>
    <row r="56" spans="1:20" s="42" customFormat="1" ht="15.75" customHeight="1">
      <c r="A56" s="210">
        <f>worksheet!Q69</f>
        <v>4.5</v>
      </c>
      <c r="B56" s="210"/>
      <c r="C56" s="209">
        <f>worksheet!S69</f>
        <v>45</v>
      </c>
      <c r="D56" s="209"/>
      <c r="E56" s="197">
        <f>worksheet!W69</f>
        <v>7.3875100234740749</v>
      </c>
      <c r="F56" s="197"/>
      <c r="H56" s="71"/>
      <c r="I56" s="60"/>
      <c r="J56" s="72"/>
      <c r="K56" s="6"/>
      <c r="L56" s="6"/>
      <c r="M56" s="6"/>
      <c r="N56" s="6"/>
      <c r="O56" s="15"/>
      <c r="P56" s="8"/>
    </row>
    <row r="57" spans="1:20" s="42" customFormat="1" ht="15.75" customHeight="1">
      <c r="A57" s="210">
        <f>worksheet!Q70</f>
        <v>5</v>
      </c>
      <c r="B57" s="210"/>
      <c r="C57" s="209">
        <f>worksheet!S70</f>
        <v>50</v>
      </c>
      <c r="D57" s="209"/>
      <c r="E57" s="197">
        <f>worksheet!W70</f>
        <v>7.5051542095331305</v>
      </c>
      <c r="F57" s="197"/>
      <c r="H57" s="71"/>
      <c r="I57" s="60"/>
      <c r="J57" s="72"/>
      <c r="K57" s="6"/>
      <c r="L57" s="6"/>
      <c r="M57" s="6"/>
      <c r="N57" s="6"/>
      <c r="O57" s="60"/>
      <c r="P57" s="60"/>
    </row>
    <row r="58" spans="1:20" s="42" customFormat="1" ht="15.75" customHeight="1">
      <c r="A58" s="210">
        <f>worksheet!Q71</f>
        <v>5.5</v>
      </c>
      <c r="B58" s="210"/>
      <c r="C58" s="209">
        <f>worksheet!S71</f>
        <v>55</v>
      </c>
      <c r="D58" s="209"/>
      <c r="E58" s="197">
        <f>worksheet!W71</f>
        <v>7.5941535181263129</v>
      </c>
      <c r="F58" s="197"/>
      <c r="G58" s="41"/>
      <c r="H58" s="71"/>
      <c r="I58" s="73"/>
      <c r="J58" s="72"/>
      <c r="K58" s="6"/>
      <c r="L58" s="6"/>
      <c r="M58" s="6"/>
      <c r="N58" s="6"/>
      <c r="O58" s="60"/>
      <c r="P58" s="60"/>
    </row>
    <row r="59" spans="1:20" s="42" customFormat="1" ht="15.75" customHeight="1">
      <c r="A59" s="210">
        <f>worksheet!Q72</f>
        <v>6</v>
      </c>
      <c r="B59" s="210"/>
      <c r="C59" s="209">
        <f>worksheet!S72</f>
        <v>60</v>
      </c>
      <c r="D59" s="209"/>
      <c r="E59" s="197">
        <f>worksheet!W72</f>
        <v>7.6614826161073086</v>
      </c>
      <c r="F59" s="197"/>
      <c r="G59" s="41"/>
      <c r="H59" s="71"/>
      <c r="I59" s="73"/>
      <c r="J59" s="72"/>
      <c r="K59" s="6"/>
      <c r="L59" s="6"/>
      <c r="M59" s="6"/>
      <c r="N59" s="6"/>
    </row>
    <row r="60" spans="1:20" s="42" customFormat="1" ht="15.75" customHeight="1">
      <c r="A60" s="210">
        <f>worksheet!Q73</f>
        <v>6.5</v>
      </c>
      <c r="B60" s="210"/>
      <c r="C60" s="209">
        <f>worksheet!S73</f>
        <v>65</v>
      </c>
      <c r="D60" s="209"/>
      <c r="E60" s="197">
        <f>worksheet!W73</f>
        <v>7.712417926803437</v>
      </c>
      <c r="F60" s="197"/>
      <c r="G60" s="41"/>
      <c r="H60" s="71"/>
      <c r="I60" s="73"/>
      <c r="J60" s="72"/>
      <c r="K60" s="6"/>
      <c r="L60" s="6"/>
      <c r="M60" s="6"/>
      <c r="N60" s="6"/>
    </row>
    <row r="61" spans="1:20" s="42" customFormat="1" ht="15.75" customHeight="1">
      <c r="A61" s="210">
        <f>worksheet!Q74</f>
        <v>7</v>
      </c>
      <c r="B61" s="210"/>
      <c r="C61" s="209">
        <f>worksheet!S74</f>
        <v>70</v>
      </c>
      <c r="D61" s="209"/>
      <c r="E61" s="197">
        <f>worksheet!W74</f>
        <v>7.7509511309233492</v>
      </c>
      <c r="F61" s="197"/>
      <c r="G61" s="41"/>
      <c r="H61" s="71"/>
      <c r="I61" s="73"/>
      <c r="J61" s="72"/>
      <c r="K61" s="6"/>
      <c r="L61" s="6"/>
      <c r="M61" s="6"/>
      <c r="N61" s="6"/>
    </row>
    <row r="62" spans="1:20" s="42" customFormat="1" ht="15.75" customHeight="1">
      <c r="A62" s="210">
        <f>worksheet!Q75</f>
        <v>7.5</v>
      </c>
      <c r="B62" s="210"/>
      <c r="C62" s="209">
        <f>worksheet!S75</f>
        <v>75</v>
      </c>
      <c r="D62" s="209"/>
      <c r="E62" s="197">
        <f>worksheet!W75</f>
        <v>7.78010198520212</v>
      </c>
      <c r="F62" s="197"/>
      <c r="G62" s="41"/>
      <c r="H62" s="71"/>
      <c r="I62" s="73"/>
      <c r="J62" s="72"/>
      <c r="K62" s="6"/>
      <c r="L62" s="6"/>
      <c r="M62" s="6"/>
      <c r="N62" s="6"/>
    </row>
    <row r="63" spans="1:20" s="42" customFormat="1" ht="15.75" customHeight="1">
      <c r="A63" s="210">
        <f>worksheet!Q76</f>
        <v>8</v>
      </c>
      <c r="B63" s="210"/>
      <c r="C63" s="209">
        <f>worksheet!S76</f>
        <v>80</v>
      </c>
      <c r="D63" s="209"/>
      <c r="E63" s="197">
        <f>worksheet!W76</f>
        <v>7.8021549736465197</v>
      </c>
      <c r="F63" s="197"/>
      <c r="G63" s="41"/>
      <c r="H63" s="71"/>
      <c r="I63" s="73"/>
      <c r="J63" s="72"/>
      <c r="K63" s="6"/>
      <c r="L63" s="6"/>
      <c r="M63" s="6"/>
      <c r="N63" s="6"/>
    </row>
    <row r="64" spans="1:20" s="42" customFormat="1" ht="15.75" customHeight="1">
      <c r="A64" s="210">
        <f>worksheet!Q77</f>
        <v>8.5</v>
      </c>
      <c r="B64" s="210"/>
      <c r="C64" s="209">
        <f>worksheet!S77</f>
        <v>85</v>
      </c>
      <c r="D64" s="209"/>
      <c r="E64" s="197">
        <f>worksheet!W77</f>
        <v>7.8188383371829024</v>
      </c>
      <c r="F64" s="197"/>
      <c r="G64" s="41"/>
      <c r="H64" s="71"/>
      <c r="I64" s="73"/>
      <c r="J64" s="72"/>
      <c r="K64" s="6"/>
      <c r="L64" s="6"/>
      <c r="M64" s="6"/>
      <c r="N64" s="6"/>
    </row>
    <row r="65" spans="1:17" ht="15.75" customHeight="1">
      <c r="A65" s="210">
        <f>worksheet!Q78</f>
        <v>9</v>
      </c>
      <c r="B65" s="210"/>
      <c r="C65" s="209">
        <f>worksheet!S78</f>
        <v>90</v>
      </c>
      <c r="D65" s="209"/>
      <c r="E65" s="197">
        <f>worksheet!W78</f>
        <v>7.8314595118408787</v>
      </c>
      <c r="F65" s="197"/>
      <c r="H65" s="71"/>
      <c r="I65" s="73"/>
      <c r="J65" s="72"/>
      <c r="K65" s="6"/>
      <c r="L65" s="6"/>
      <c r="M65" s="6"/>
      <c r="N65" s="6"/>
      <c r="O65" s="42"/>
      <c r="P65" s="42"/>
      <c r="Q65" s="42"/>
    </row>
    <row r="66" spans="1:17" ht="15.75" customHeight="1">
      <c r="A66" s="210">
        <f>worksheet!Q79</f>
        <v>9.5</v>
      </c>
      <c r="B66" s="210"/>
      <c r="C66" s="209">
        <f>worksheet!S79</f>
        <v>95</v>
      </c>
      <c r="D66" s="209"/>
      <c r="E66" s="197">
        <f>worksheet!W79</f>
        <v>7.8410075894452387</v>
      </c>
      <c r="F66" s="197"/>
      <c r="H66" s="71"/>
      <c r="I66" s="73"/>
      <c r="J66" s="72"/>
      <c r="K66" s="6"/>
      <c r="L66" s="6"/>
      <c r="M66" s="6"/>
      <c r="N66" s="6"/>
      <c r="O66" s="42"/>
      <c r="P66" s="42"/>
      <c r="Q66" s="42"/>
    </row>
    <row r="67" spans="1:17" ht="15.75" customHeight="1">
      <c r="A67" s="210">
        <f>worksheet!Q80</f>
        <v>10</v>
      </c>
      <c r="B67" s="210"/>
      <c r="C67" s="209">
        <f>worksheet!S80</f>
        <v>100</v>
      </c>
      <c r="D67" s="209"/>
      <c r="E67" s="197">
        <f>worksheet!W80</f>
        <v>7.8482308304199817</v>
      </c>
      <c r="F67" s="197"/>
      <c r="H67" s="71"/>
      <c r="I67" s="73"/>
      <c r="J67" s="72"/>
      <c r="K67" s="6"/>
      <c r="L67" s="6"/>
      <c r="M67" s="6"/>
      <c r="N67" s="6"/>
      <c r="O67" s="42"/>
      <c r="P67" s="42"/>
      <c r="Q67" s="42"/>
    </row>
    <row r="68" spans="1:17" ht="15.75" customHeight="1">
      <c r="A68" s="210">
        <f>worksheet!Q81</f>
        <v>10.5</v>
      </c>
      <c r="B68" s="210"/>
      <c r="C68" s="209">
        <f>worksheet!S81</f>
        <v>105</v>
      </c>
      <c r="D68" s="209"/>
      <c r="E68" s="197">
        <f>worksheet!W81</f>
        <v>7.8536953032009098</v>
      </c>
      <c r="F68" s="197"/>
      <c r="H68" s="71"/>
      <c r="I68" s="73"/>
      <c r="J68" s="72"/>
      <c r="K68" s="6"/>
      <c r="L68" s="6"/>
      <c r="M68" s="6"/>
      <c r="N68" s="6"/>
      <c r="O68" s="42"/>
      <c r="P68" s="42"/>
      <c r="Q68" s="42"/>
    </row>
    <row r="69" spans="1:17" ht="15.75" customHeight="1">
      <c r="A69" s="210">
        <f>worksheet!Q82</f>
        <v>11</v>
      </c>
      <c r="B69" s="210"/>
      <c r="C69" s="209">
        <f>worksheet!S82</f>
        <v>110</v>
      </c>
      <c r="D69" s="209"/>
      <c r="E69" s="197">
        <f>worksheet!W82</f>
        <v>7.8578292456898717</v>
      </c>
      <c r="F69" s="197"/>
      <c r="H69" s="71"/>
      <c r="I69" s="73"/>
      <c r="J69" s="72"/>
      <c r="K69" s="6"/>
      <c r="L69" s="6"/>
      <c r="M69" s="6"/>
      <c r="N69" s="6"/>
      <c r="O69" s="42"/>
      <c r="P69" s="42"/>
      <c r="Q69" s="42"/>
    </row>
    <row r="70" spans="1:17" ht="15.75" customHeight="1">
      <c r="A70" s="210">
        <f>worksheet!Q83</f>
        <v>11.5</v>
      </c>
      <c r="B70" s="210"/>
      <c r="C70" s="209">
        <f>worksheet!S83</f>
        <v>115</v>
      </c>
      <c r="D70" s="209"/>
      <c r="E70" s="197">
        <f>worksheet!W83</f>
        <v>7.8609566252536771</v>
      </c>
      <c r="F70" s="197"/>
      <c r="H70" s="71"/>
      <c r="I70" s="73"/>
      <c r="J70" s="72"/>
      <c r="K70" s="6"/>
      <c r="L70" s="6"/>
      <c r="M70" s="6"/>
      <c r="N70" s="6"/>
      <c r="O70" s="42"/>
      <c r="P70" s="42"/>
      <c r="Q70" s="42"/>
    </row>
    <row r="71" spans="1:17" ht="15.75" customHeight="1">
      <c r="A71" s="210">
        <f>worksheet!Q84</f>
        <v>12</v>
      </c>
      <c r="B71" s="210"/>
      <c r="C71" s="209">
        <f>worksheet!S84</f>
        <v>120</v>
      </c>
      <c r="D71" s="209"/>
      <c r="E71" s="197">
        <f>worksheet!W84</f>
        <v>7.863322527285991</v>
      </c>
      <c r="F71" s="197"/>
      <c r="H71" s="71"/>
      <c r="I71" s="73"/>
      <c r="J71" s="72"/>
      <c r="K71" s="6"/>
      <c r="L71" s="6"/>
      <c r="M71" s="6"/>
      <c r="N71" s="6"/>
    </row>
    <row r="72" spans="1:17" ht="15.75" customHeight="1">
      <c r="A72" s="210">
        <f>worksheet!Q85</f>
        <v>12.5</v>
      </c>
      <c r="B72" s="210"/>
      <c r="C72" s="209">
        <f>worksheet!S85</f>
        <v>125</v>
      </c>
      <c r="D72" s="209"/>
      <c r="E72" s="197">
        <f>worksheet!W85</f>
        <v>7.8651123619742052</v>
      </c>
      <c r="F72" s="197"/>
      <c r="H72" s="71"/>
      <c r="I72" s="73"/>
      <c r="J72" s="72"/>
      <c r="K72" s="6"/>
      <c r="L72" s="6"/>
      <c r="M72" s="6"/>
      <c r="N72" s="6"/>
    </row>
    <row r="73" spans="1:17" ht="15.75" customHeight="1">
      <c r="A73" s="210">
        <f>worksheet!Q86</f>
        <v>13</v>
      </c>
      <c r="B73" s="210"/>
      <c r="C73" s="209">
        <f>worksheet!S86</f>
        <v>130</v>
      </c>
      <c r="D73" s="209"/>
      <c r="E73" s="197">
        <f>worksheet!W86</f>
        <v>7.8664663944604953</v>
      </c>
      <c r="F73" s="197"/>
      <c r="H73" s="71"/>
      <c r="I73" s="73"/>
      <c r="J73" s="72"/>
      <c r="K73" s="6"/>
      <c r="L73" s="6"/>
      <c r="M73" s="6"/>
      <c r="N73" s="6"/>
    </row>
    <row r="74" spans="1:17" ht="15.75" customHeight="1">
      <c r="A74" s="210">
        <f>worksheet!Q87</f>
        <v>13.5</v>
      </c>
      <c r="B74" s="210"/>
      <c r="C74" s="209">
        <f>worksheet!S87</f>
        <v>135</v>
      </c>
      <c r="D74" s="209"/>
      <c r="E74" s="197">
        <f>worksheet!W87</f>
        <v>7.8674907370916909</v>
      </c>
      <c r="F74" s="197"/>
      <c r="H74" s="71"/>
      <c r="I74" s="73"/>
      <c r="J74" s="72"/>
      <c r="K74" s="6"/>
      <c r="L74" s="6"/>
      <c r="M74" s="6"/>
      <c r="N74" s="6"/>
    </row>
    <row r="75" spans="1:17" ht="15.75" customHeight="1">
      <c r="A75" s="210">
        <f>worksheet!Q88</f>
        <v>14</v>
      </c>
      <c r="B75" s="210"/>
      <c r="C75" s="209">
        <f>worksheet!S88</f>
        <v>140</v>
      </c>
      <c r="D75" s="209"/>
      <c r="E75" s="197">
        <f>worksheet!W88</f>
        <v>7.8682656651947518</v>
      </c>
      <c r="F75" s="197"/>
      <c r="H75" s="71"/>
      <c r="I75" s="73"/>
      <c r="J75" s="72"/>
      <c r="K75" s="6"/>
      <c r="L75" s="6"/>
      <c r="M75" s="6"/>
      <c r="N75" s="6"/>
    </row>
    <row r="76" spans="1:17" ht="15.75" customHeight="1">
      <c r="A76" s="210">
        <f>worksheet!Q89</f>
        <v>14.5</v>
      </c>
      <c r="B76" s="210"/>
      <c r="C76" s="209">
        <f>worksheet!S89</f>
        <v>145</v>
      </c>
      <c r="D76" s="209"/>
      <c r="E76" s="197">
        <f>worksheet!W89</f>
        <v>7.8688519080656674</v>
      </c>
      <c r="F76" s="197"/>
      <c r="H76" s="71"/>
      <c r="I76" s="73"/>
      <c r="J76" s="72"/>
      <c r="K76" s="6"/>
      <c r="L76" s="6"/>
      <c r="M76" s="6"/>
      <c r="N76" s="6"/>
    </row>
    <row r="77" spans="1:17" ht="15.75" customHeight="1">
      <c r="A77" s="210">
        <f>worksheet!Q90</f>
        <v>15</v>
      </c>
      <c r="B77" s="210"/>
      <c r="C77" s="209">
        <f>worksheet!S90</f>
        <v>150</v>
      </c>
      <c r="D77" s="209"/>
      <c r="E77" s="197">
        <f>worksheet!W90</f>
        <v>7.8692954081817978</v>
      </c>
      <c r="F77" s="197"/>
      <c r="H77" s="71"/>
      <c r="I77" s="73"/>
      <c r="J77" s="72"/>
      <c r="K77" s="6"/>
      <c r="L77" s="6"/>
      <c r="M77" s="6"/>
      <c r="N77" s="6"/>
    </row>
    <row r="78" spans="1:17" ht="15.75" customHeight="1">
      <c r="A78" s="210">
        <f>worksheet!Q91</f>
        <v>15.5</v>
      </c>
      <c r="B78" s="210"/>
      <c r="C78" s="209">
        <f>worksheet!S91</f>
        <v>155</v>
      </c>
      <c r="D78" s="209"/>
      <c r="E78" s="197">
        <f>worksheet!W91</f>
        <v>7.8696309216059523</v>
      </c>
      <c r="F78" s="197"/>
      <c r="H78" s="71"/>
      <c r="I78" s="73"/>
      <c r="J78" s="72"/>
      <c r="K78" s="6"/>
      <c r="L78" s="6"/>
      <c r="M78" s="6"/>
      <c r="N78" s="6"/>
    </row>
    <row r="79" spans="1:17" ht="15.75" customHeight="1">
      <c r="A79" s="210">
        <f>worksheet!Q92</f>
        <v>16</v>
      </c>
      <c r="B79" s="210"/>
      <c r="C79" s="209">
        <f>worksheet!S92</f>
        <v>160</v>
      </c>
      <c r="D79" s="209"/>
      <c r="E79" s="197">
        <f>worksheet!W92</f>
        <v>7.8698847417374331</v>
      </c>
      <c r="F79" s="197"/>
      <c r="H79" s="71"/>
      <c r="I79" s="73"/>
      <c r="J79" s="72"/>
      <c r="K79" s="6"/>
      <c r="L79" s="6"/>
      <c r="M79" s="6"/>
      <c r="N79" s="6"/>
    </row>
    <row r="80" spans="1:17" ht="15.75" customHeight="1">
      <c r="A80" s="210">
        <f>worksheet!Q93</f>
        <v>16.5</v>
      </c>
      <c r="B80" s="210"/>
      <c r="C80" s="209">
        <f>worksheet!S93</f>
        <v>165</v>
      </c>
      <c r="D80" s="209"/>
      <c r="E80" s="197">
        <f>worksheet!W93</f>
        <v>7.8700767598640029</v>
      </c>
      <c r="F80" s="197"/>
      <c r="H80" s="71"/>
      <c r="I80" s="73"/>
      <c r="J80" s="72"/>
      <c r="K80" s="6"/>
      <c r="L80" s="6"/>
      <c r="M80" s="6"/>
      <c r="N80" s="6"/>
    </row>
    <row r="81" spans="1:16" ht="15.75" customHeight="1">
      <c r="A81" s="210">
        <f>worksheet!Q94</f>
        <v>17</v>
      </c>
      <c r="B81" s="210"/>
      <c r="C81" s="209">
        <f>worksheet!S94</f>
        <v>170</v>
      </c>
      <c r="D81" s="209"/>
      <c r="E81" s="197">
        <f>worksheet!W94</f>
        <v>7.8702220239954022</v>
      </c>
      <c r="F81" s="197"/>
      <c r="H81" s="71"/>
      <c r="I81" s="73"/>
      <c r="J81" s="72"/>
      <c r="K81" s="6"/>
      <c r="L81" s="6"/>
      <c r="M81" s="6"/>
      <c r="N81" s="6"/>
    </row>
    <row r="82" spans="1:16" ht="15.75" customHeight="1">
      <c r="A82" s="210">
        <f>worksheet!Q95</f>
        <v>17.5</v>
      </c>
      <c r="B82" s="210"/>
      <c r="C82" s="209">
        <f>worksheet!S95</f>
        <v>175</v>
      </c>
      <c r="D82" s="209"/>
      <c r="E82" s="197">
        <f>worksheet!W95</f>
        <v>7.8703319181405442</v>
      </c>
      <c r="F82" s="197"/>
      <c r="H82" s="71"/>
      <c r="I82" s="73"/>
      <c r="J82" s="72"/>
      <c r="K82" s="6"/>
      <c r="L82" s="6"/>
      <c r="M82" s="6"/>
      <c r="N82" s="6"/>
    </row>
    <row r="83" spans="1:16" ht="15.75" customHeight="1">
      <c r="A83" s="210">
        <f>worksheet!Q96</f>
        <v>18</v>
      </c>
      <c r="B83" s="210"/>
      <c r="C83" s="209">
        <f>worksheet!S96</f>
        <v>180</v>
      </c>
      <c r="D83" s="209"/>
      <c r="E83" s="197">
        <f>worksheet!W96</f>
        <v>7.8704150544455649</v>
      </c>
      <c r="F83" s="197"/>
      <c r="H83" s="71"/>
      <c r="I83" s="73"/>
      <c r="J83" s="72"/>
      <c r="K83" s="6"/>
      <c r="L83" s="6"/>
      <c r="M83" s="6"/>
      <c r="N83" s="6"/>
    </row>
    <row r="84" spans="1:16" ht="15.75" customHeight="1">
      <c r="A84" s="210">
        <f>worksheet!Q97</f>
        <v>18.5</v>
      </c>
      <c r="B84" s="210"/>
      <c r="C84" s="209">
        <f>worksheet!S97</f>
        <v>185</v>
      </c>
      <c r="D84" s="209"/>
      <c r="E84" s="197">
        <f>worksheet!W97</f>
        <v>7.8704779481074931</v>
      </c>
      <c r="F84" s="197"/>
      <c r="H84" s="71"/>
      <c r="I84" s="73"/>
      <c r="J84" s="72"/>
      <c r="K84" s="6"/>
      <c r="L84" s="6"/>
      <c r="M84" s="6"/>
      <c r="N84" s="6"/>
    </row>
    <row r="85" spans="1:16" ht="15.75" customHeight="1">
      <c r="A85" s="210">
        <f>worksheet!Q98</f>
        <v>19</v>
      </c>
      <c r="B85" s="210"/>
      <c r="C85" s="209">
        <f>worksheet!S98</f>
        <v>190</v>
      </c>
      <c r="D85" s="209"/>
      <c r="E85" s="197">
        <f>worksheet!W98</f>
        <v>7.8705255279549471</v>
      </c>
      <c r="F85" s="197"/>
      <c r="H85" s="71"/>
      <c r="I85" s="73"/>
      <c r="J85" s="72"/>
      <c r="K85" s="6"/>
      <c r="L85" s="6"/>
      <c r="M85" s="6"/>
      <c r="N85" s="6"/>
    </row>
    <row r="86" spans="1:16" ht="15.75" customHeight="1">
      <c r="A86" s="210">
        <f>worksheet!Q99</f>
        <v>19.5</v>
      </c>
      <c r="B86" s="210"/>
      <c r="C86" s="209">
        <f>worksheet!S99</f>
        <v>195</v>
      </c>
      <c r="D86" s="209"/>
      <c r="E86" s="197">
        <f>worksheet!W99</f>
        <v>7.8705615227088588</v>
      </c>
      <c r="F86" s="197"/>
      <c r="H86" s="71"/>
      <c r="I86" s="73"/>
      <c r="J86" s="72"/>
      <c r="K86" s="6"/>
      <c r="L86" s="6"/>
      <c r="M86" s="6"/>
      <c r="N86" s="6"/>
    </row>
    <row r="87" spans="1:16" ht="15.75" customHeight="1">
      <c r="A87" s="210">
        <f>worksheet!Q100</f>
        <v>20</v>
      </c>
      <c r="B87" s="210"/>
      <c r="C87" s="209">
        <f>worksheet!S100</f>
        <v>200</v>
      </c>
      <c r="D87" s="209"/>
      <c r="E87" s="197">
        <f>worksheet!W100</f>
        <v>7.870588753193581</v>
      </c>
      <c r="F87" s="197"/>
      <c r="H87" s="71"/>
      <c r="I87" s="73"/>
      <c r="J87" s="72"/>
      <c r="K87" s="6"/>
      <c r="L87" s="6"/>
      <c r="M87" s="6"/>
      <c r="N87" s="6"/>
    </row>
    <row r="88" spans="1:16">
      <c r="P88" s="6"/>
    </row>
    <row r="89" spans="1:16">
      <c r="P89" s="6"/>
    </row>
    <row r="90" spans="1:16">
      <c r="P90" s="6"/>
    </row>
    <row r="91" spans="1:16">
      <c r="P91" s="6"/>
    </row>
    <row r="92" spans="1:16">
      <c r="P92" s="6"/>
    </row>
    <row r="93" spans="1:16">
      <c r="P93" s="6"/>
    </row>
    <row r="94" spans="1:16">
      <c r="P94" s="6"/>
    </row>
  </sheetData>
  <sheetProtection sheet="1" scenarios="1" formatCells="0" formatColumns="0" formatRows="0"/>
  <mergeCells count="193">
    <mergeCell ref="A1:O1"/>
    <mergeCell ref="A2:O2"/>
    <mergeCell ref="A3:O3"/>
    <mergeCell ref="J5:O5"/>
    <mergeCell ref="A34:E34"/>
    <mergeCell ref="A35:E35"/>
    <mergeCell ref="A36:E36"/>
    <mergeCell ref="A6:E6"/>
    <mergeCell ref="A21:E21"/>
    <mergeCell ref="A22:E22"/>
    <mergeCell ref="A23:E23"/>
    <mergeCell ref="A8:E8"/>
    <mergeCell ref="A9:E9"/>
    <mergeCell ref="A14:E14"/>
    <mergeCell ref="A12:E12"/>
    <mergeCell ref="A13:E13"/>
    <mergeCell ref="A7:E7"/>
    <mergeCell ref="J6:O6"/>
    <mergeCell ref="J7:O7"/>
    <mergeCell ref="J8:O9"/>
    <mergeCell ref="J26:O26"/>
    <mergeCell ref="J27:O27"/>
    <mergeCell ref="J28:O28"/>
    <mergeCell ref="J29:O29"/>
    <mergeCell ref="A56:B56"/>
    <mergeCell ref="A57:B57"/>
    <mergeCell ref="A54:B54"/>
    <mergeCell ref="A55:B55"/>
    <mergeCell ref="A52:B52"/>
    <mergeCell ref="A53:B53"/>
    <mergeCell ref="A50:B50"/>
    <mergeCell ref="A51:B51"/>
    <mergeCell ref="A48:B48"/>
    <mergeCell ref="A49:B49"/>
    <mergeCell ref="A66:B66"/>
    <mergeCell ref="A67:B67"/>
    <mergeCell ref="A64:B64"/>
    <mergeCell ref="A65:B65"/>
    <mergeCell ref="A62:B62"/>
    <mergeCell ref="A63:B63"/>
    <mergeCell ref="A60:B60"/>
    <mergeCell ref="A61:B61"/>
    <mergeCell ref="A58:B58"/>
    <mergeCell ref="A59:B59"/>
    <mergeCell ref="A76:B76"/>
    <mergeCell ref="A77:B77"/>
    <mergeCell ref="A74:B74"/>
    <mergeCell ref="A75:B75"/>
    <mergeCell ref="A72:B72"/>
    <mergeCell ref="A73:B73"/>
    <mergeCell ref="A70:B70"/>
    <mergeCell ref="A71:B71"/>
    <mergeCell ref="A68:B68"/>
    <mergeCell ref="A69:B69"/>
    <mergeCell ref="A86:B86"/>
    <mergeCell ref="A87:B87"/>
    <mergeCell ref="A84:B84"/>
    <mergeCell ref="A85:B85"/>
    <mergeCell ref="A82:B82"/>
    <mergeCell ref="A83:B83"/>
    <mergeCell ref="A80:B80"/>
    <mergeCell ref="A81:B81"/>
    <mergeCell ref="A78:B78"/>
    <mergeCell ref="A79:B79"/>
    <mergeCell ref="C49:D49"/>
    <mergeCell ref="C50:D50"/>
    <mergeCell ref="C51:D51"/>
    <mergeCell ref="C52:D52"/>
    <mergeCell ref="C53:D53"/>
    <mergeCell ref="C54:D54"/>
    <mergeCell ref="A5:H5"/>
    <mergeCell ref="A11:H11"/>
    <mergeCell ref="A16:H16"/>
    <mergeCell ref="C46:D46"/>
    <mergeCell ref="C47:D47"/>
    <mergeCell ref="C48:D48"/>
    <mergeCell ref="A30:E30"/>
    <mergeCell ref="A31:E31"/>
    <mergeCell ref="A32:E32"/>
    <mergeCell ref="A33:E33"/>
    <mergeCell ref="A46:B46"/>
    <mergeCell ref="A47:B47"/>
    <mergeCell ref="A42:E42"/>
    <mergeCell ref="A45:B45"/>
    <mergeCell ref="C45:D45"/>
    <mergeCell ref="E45:F45"/>
    <mergeCell ref="E51:F51"/>
    <mergeCell ref="E52:F52"/>
    <mergeCell ref="C55:D55"/>
    <mergeCell ref="C56:D56"/>
    <mergeCell ref="C57:D57"/>
    <mergeCell ref="C58:D58"/>
    <mergeCell ref="C59:D59"/>
    <mergeCell ref="C60:D60"/>
    <mergeCell ref="C79:D79"/>
    <mergeCell ref="C80:D80"/>
    <mergeCell ref="C73:D73"/>
    <mergeCell ref="C74:D74"/>
    <mergeCell ref="C75:D75"/>
    <mergeCell ref="C76:D76"/>
    <mergeCell ref="C77:D77"/>
    <mergeCell ref="C78:D78"/>
    <mergeCell ref="C67:D67"/>
    <mergeCell ref="C68:D68"/>
    <mergeCell ref="C69:D69"/>
    <mergeCell ref="C70:D70"/>
    <mergeCell ref="C71:D71"/>
    <mergeCell ref="C72:D72"/>
    <mergeCell ref="C61:D61"/>
    <mergeCell ref="C62:D62"/>
    <mergeCell ref="C63:D63"/>
    <mergeCell ref="E58:F58"/>
    <mergeCell ref="E59:F59"/>
    <mergeCell ref="E60:F60"/>
    <mergeCell ref="E61:F61"/>
    <mergeCell ref="E62:F62"/>
    <mergeCell ref="E78:F78"/>
    <mergeCell ref="E79:F79"/>
    <mergeCell ref="E76:F76"/>
    <mergeCell ref="E77:F77"/>
    <mergeCell ref="C85:D85"/>
    <mergeCell ref="C86:D86"/>
    <mergeCell ref="C87:D87"/>
    <mergeCell ref="C81:D81"/>
    <mergeCell ref="C82:D82"/>
    <mergeCell ref="C83:D83"/>
    <mergeCell ref="C84:D84"/>
    <mergeCell ref="C64:D64"/>
    <mergeCell ref="C65:D65"/>
    <mergeCell ref="C66:D66"/>
    <mergeCell ref="J18:O18"/>
    <mergeCell ref="J20:O20"/>
    <mergeCell ref="A41:E41"/>
    <mergeCell ref="A40:E40"/>
    <mergeCell ref="A39:E39"/>
    <mergeCell ref="J30:O30"/>
    <mergeCell ref="J31:O31"/>
    <mergeCell ref="J32:O32"/>
    <mergeCell ref="J33:O33"/>
    <mergeCell ref="J34:O34"/>
    <mergeCell ref="J35:O35"/>
    <mergeCell ref="J36:O36"/>
    <mergeCell ref="J21:O21"/>
    <mergeCell ref="J24:O24"/>
    <mergeCell ref="J25:O25"/>
    <mergeCell ref="A44:H44"/>
    <mergeCell ref="E80:F80"/>
    <mergeCell ref="E69:F69"/>
    <mergeCell ref="E70:F70"/>
    <mergeCell ref="E71:F71"/>
    <mergeCell ref="E72:F72"/>
    <mergeCell ref="E73:F73"/>
    <mergeCell ref="E74:F74"/>
    <mergeCell ref="E53:F53"/>
    <mergeCell ref="E54:F54"/>
    <mergeCell ref="E55:F55"/>
    <mergeCell ref="E56:F56"/>
    <mergeCell ref="E46:F46"/>
    <mergeCell ref="E47:F47"/>
    <mergeCell ref="E48:F48"/>
    <mergeCell ref="E49:F49"/>
    <mergeCell ref="E50:F50"/>
    <mergeCell ref="E57:F57"/>
    <mergeCell ref="E63:F63"/>
    <mergeCell ref="E64:F64"/>
    <mergeCell ref="E65:F65"/>
    <mergeCell ref="E66:F66"/>
    <mergeCell ref="E67:F67"/>
    <mergeCell ref="E68:F68"/>
    <mergeCell ref="J11:O11"/>
    <mergeCell ref="J12:O12"/>
    <mergeCell ref="J13:O13"/>
    <mergeCell ref="J14:O14"/>
    <mergeCell ref="J16:O16"/>
    <mergeCell ref="J17:O17"/>
    <mergeCell ref="J22:O23"/>
    <mergeCell ref="E87:F87"/>
    <mergeCell ref="A17:E17"/>
    <mergeCell ref="A18:E18"/>
    <mergeCell ref="A20:H20"/>
    <mergeCell ref="A24:E24"/>
    <mergeCell ref="A25:E25"/>
    <mergeCell ref="A26:E26"/>
    <mergeCell ref="A27:E27"/>
    <mergeCell ref="A28:E28"/>
    <mergeCell ref="A29:E29"/>
    <mergeCell ref="E81:F81"/>
    <mergeCell ref="E82:F82"/>
    <mergeCell ref="E83:F83"/>
    <mergeCell ref="E84:F84"/>
    <mergeCell ref="E85:F85"/>
    <mergeCell ref="E86:F86"/>
    <mergeCell ref="E75:F75"/>
  </mergeCells>
  <conditionalFormatting sqref="G42">
    <cfRule type="cellIs" dxfId="15" priority="5" stopIfTrue="1" operator="greaterThanOrEqual">
      <formula>6</formula>
    </cfRule>
    <cfRule type="cellIs" dxfId="14" priority="6" stopIfTrue="1" operator="greaterThanOrEqual">
      <formula>4</formula>
    </cfRule>
    <cfRule type="cellIs" dxfId="13" priority="7" stopIfTrue="1" operator="greaterThanOrEqual">
      <formula>2</formula>
    </cfRule>
    <cfRule type="cellIs" dxfId="12" priority="8" operator="greaterThanOrEqual">
      <formula>0</formula>
    </cfRule>
  </conditionalFormatting>
  <conditionalFormatting sqref="G41">
    <cfRule type="cellIs" dxfId="11" priority="1" stopIfTrue="1" operator="greaterThanOrEqual">
      <formula>6</formula>
    </cfRule>
    <cfRule type="cellIs" dxfId="10" priority="2" stopIfTrue="1" operator="greaterThanOrEqual">
      <formula>4</formula>
    </cfRule>
    <cfRule type="cellIs" dxfId="9" priority="3" stopIfTrue="1" operator="greaterThanOrEqual">
      <formula>2</formula>
    </cfRule>
    <cfRule type="cellIs" dxfId="8" priority="4" operator="greaterThanOrEqual">
      <formula>0</formula>
    </cfRule>
  </conditionalFormatting>
  <dataValidations count="2">
    <dataValidation type="list" allowBlank="1" showInputMessage="1" showErrorMessage="1" sqref="G13" xr:uid="{00000000-0002-0000-0300-000000000000}">
      <formula1>"0.65,1,1.6,1.8"</formula1>
    </dataValidation>
    <dataValidation type="list" allowBlank="1" showInputMessage="1" showErrorMessage="1" sqref="G14" xr:uid="{00000000-0002-0000-0300-000001000000}">
      <formula1>"0.70,0.80,0.60,0.75,0.45,0.75,1.00,0.80,0.05"</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28"/>
  <sheetViews>
    <sheetView showGridLines="0" workbookViewId="0">
      <selection activeCell="F15" sqref="F15"/>
    </sheetView>
  </sheetViews>
  <sheetFormatPr baseColWidth="10" defaultColWidth="8.83203125" defaultRowHeight="15"/>
  <cols>
    <col min="1" max="1" width="10.5" customWidth="1"/>
    <col min="2" max="2" width="9.1640625" customWidth="1"/>
    <col min="3" max="3" width="10.33203125" style="5" customWidth="1"/>
    <col min="4" max="4" width="10.1640625" style="5" customWidth="1"/>
    <col min="5" max="5" width="12.5" customWidth="1"/>
    <col min="6" max="6" width="9.5" customWidth="1"/>
    <col min="8" max="8" width="2.83203125" customWidth="1"/>
    <col min="9" max="9" width="10.33203125" customWidth="1"/>
    <col min="10" max="10" width="5.6640625" customWidth="1"/>
    <col min="11" max="11" width="5.1640625" customWidth="1"/>
    <col min="12" max="12" width="3.1640625" customWidth="1"/>
    <col min="13" max="13" width="7.1640625" customWidth="1"/>
    <col min="14" max="14" width="5" customWidth="1"/>
  </cols>
  <sheetData>
    <row r="1" spans="1:15" s="41" customFormat="1" ht="18">
      <c r="A1" s="184" t="s">
        <v>138</v>
      </c>
      <c r="B1" s="184"/>
      <c r="C1" s="184"/>
      <c r="D1" s="184"/>
      <c r="E1" s="184"/>
      <c r="F1" s="184"/>
      <c r="G1" s="184"/>
      <c r="H1" s="184"/>
      <c r="I1" s="184"/>
      <c r="J1" s="184"/>
      <c r="K1" s="184"/>
      <c r="L1" s="184"/>
      <c r="M1" s="184"/>
      <c r="N1" s="184"/>
      <c r="O1" s="57"/>
    </row>
    <row r="2" spans="1:15" s="73" customFormat="1" ht="80.25" customHeight="1">
      <c r="A2" s="225" t="s">
        <v>176</v>
      </c>
      <c r="B2" s="225"/>
      <c r="C2" s="225"/>
      <c r="D2" s="225"/>
      <c r="E2" s="225"/>
      <c r="F2" s="225"/>
      <c r="G2" s="225"/>
      <c r="H2" s="225"/>
      <c r="I2" s="225"/>
      <c r="J2" s="225"/>
      <c r="K2" s="225"/>
      <c r="L2" s="225"/>
      <c r="M2" s="225"/>
      <c r="N2" s="225"/>
      <c r="O2" s="57"/>
    </row>
    <row r="3" spans="1:15" s="42" customFormat="1" ht="16">
      <c r="A3" s="213" t="s">
        <v>139</v>
      </c>
      <c r="B3" s="214"/>
      <c r="C3" s="214"/>
      <c r="D3" s="214"/>
      <c r="E3" s="214"/>
      <c r="F3" s="214"/>
      <c r="G3" s="214"/>
      <c r="H3" s="214"/>
      <c r="I3" s="214"/>
      <c r="J3" s="214"/>
      <c r="K3" s="214"/>
      <c r="L3" s="214"/>
      <c r="M3" s="214"/>
      <c r="N3" s="214"/>
      <c r="O3" s="59"/>
    </row>
    <row r="4" spans="1:15" s="73" customFormat="1" ht="11.25" customHeight="1">
      <c r="A4" s="74"/>
      <c r="B4" s="74"/>
      <c r="C4" s="74"/>
      <c r="D4" s="74"/>
      <c r="E4" s="74"/>
      <c r="F4" s="74"/>
      <c r="G4" s="74"/>
      <c r="H4" s="74"/>
      <c r="I4" s="74"/>
      <c r="J4" s="74"/>
      <c r="K4" s="74"/>
      <c r="L4" s="74"/>
      <c r="M4" s="74"/>
      <c r="N4" s="74"/>
      <c r="O4" s="57"/>
    </row>
    <row r="5" spans="1:15" s="73" customFormat="1" ht="15.75" customHeight="1">
      <c r="A5" s="188" t="s">
        <v>16</v>
      </c>
      <c r="B5" s="188"/>
      <c r="C5" s="188"/>
      <c r="D5" s="188"/>
      <c r="E5" s="188"/>
      <c r="F5" s="188"/>
      <c r="G5" s="188"/>
      <c r="H5" s="6"/>
      <c r="I5" s="187" t="s">
        <v>51</v>
      </c>
      <c r="J5" s="187"/>
      <c r="K5" s="187"/>
      <c r="L5" s="187"/>
      <c r="M5" s="187"/>
      <c r="N5" s="187"/>
      <c r="O5" s="57"/>
    </row>
    <row r="6" spans="1:15" s="73" customFormat="1" ht="15.75" customHeight="1">
      <c r="A6" s="171" t="s">
        <v>18</v>
      </c>
      <c r="B6" s="171"/>
      <c r="C6" s="171"/>
      <c r="D6" s="171"/>
      <c r="E6" s="11" t="s">
        <v>55</v>
      </c>
      <c r="F6" s="153">
        <v>40</v>
      </c>
      <c r="G6" s="10" t="s">
        <v>44</v>
      </c>
      <c r="H6" s="7"/>
      <c r="I6" s="191"/>
      <c r="J6" s="191"/>
      <c r="K6" s="191"/>
      <c r="L6" s="191"/>
      <c r="M6" s="191"/>
      <c r="N6" s="191"/>
      <c r="O6" s="57"/>
    </row>
    <row r="7" spans="1:15" s="73" customFormat="1" ht="15.75" customHeight="1">
      <c r="A7" s="171" t="s">
        <v>59</v>
      </c>
      <c r="B7" s="171"/>
      <c r="C7" s="171"/>
      <c r="D7" s="171"/>
      <c r="E7" s="11" t="s">
        <v>56</v>
      </c>
      <c r="F7" s="154">
        <v>0</v>
      </c>
      <c r="G7" s="10" t="s">
        <v>29</v>
      </c>
      <c r="H7" s="7"/>
      <c r="I7" s="192"/>
      <c r="J7" s="192"/>
      <c r="K7" s="192"/>
      <c r="L7" s="192"/>
      <c r="M7" s="192"/>
      <c r="N7" s="192"/>
      <c r="O7" s="57"/>
    </row>
    <row r="8" spans="1:15" ht="15.75" customHeight="1">
      <c r="A8" s="171" t="s">
        <v>60</v>
      </c>
      <c r="B8" s="171"/>
      <c r="C8" s="171"/>
      <c r="D8" s="171"/>
      <c r="E8" s="11" t="s">
        <v>57</v>
      </c>
      <c r="F8" s="154">
        <v>30</v>
      </c>
      <c r="G8" s="10" t="s">
        <v>29</v>
      </c>
      <c r="H8" s="7"/>
      <c r="I8" s="190" t="s">
        <v>226</v>
      </c>
      <c r="J8" s="190"/>
      <c r="K8" s="190"/>
      <c r="L8" s="190"/>
      <c r="M8" s="190"/>
      <c r="N8" s="190"/>
    </row>
    <row r="9" spans="1:15" ht="15.75" customHeight="1">
      <c r="A9" s="171" t="s">
        <v>25</v>
      </c>
      <c r="B9" s="171"/>
      <c r="C9" s="171"/>
      <c r="D9" s="171"/>
      <c r="E9" s="11" t="s">
        <v>58</v>
      </c>
      <c r="F9" s="154">
        <v>12</v>
      </c>
      <c r="G9" s="27" t="s">
        <v>7</v>
      </c>
      <c r="H9" s="7"/>
      <c r="I9" s="190"/>
      <c r="J9" s="190"/>
      <c r="K9" s="190"/>
      <c r="L9" s="190"/>
      <c r="M9" s="190"/>
      <c r="N9" s="190"/>
    </row>
    <row r="10" spans="1:15" ht="15.75" customHeight="1">
      <c r="A10" s="86" t="s">
        <v>171</v>
      </c>
      <c r="B10" s="86"/>
      <c r="C10" s="86"/>
      <c r="D10" s="86"/>
      <c r="E10" s="11" t="s">
        <v>172</v>
      </c>
      <c r="F10" s="153">
        <v>15</v>
      </c>
      <c r="G10" s="27" t="s">
        <v>10</v>
      </c>
      <c r="H10" s="7"/>
      <c r="I10" s="192"/>
      <c r="J10" s="192"/>
      <c r="K10" s="192"/>
      <c r="L10" s="192"/>
      <c r="M10" s="192"/>
      <c r="N10" s="192"/>
    </row>
    <row r="11" spans="1:15" ht="18">
      <c r="A11" s="74"/>
      <c r="B11" s="74"/>
      <c r="C11" s="74"/>
      <c r="D11" s="74"/>
      <c r="E11" s="74"/>
      <c r="F11" s="74"/>
      <c r="G11" s="74"/>
      <c r="H11" s="74"/>
      <c r="I11" s="74"/>
      <c r="J11" s="74"/>
      <c r="K11" s="74"/>
      <c r="L11" s="74"/>
      <c r="M11" s="74"/>
      <c r="N11" s="74"/>
    </row>
    <row r="12" spans="1:15" ht="15.75" customHeight="1">
      <c r="A12" s="183" t="s">
        <v>140</v>
      </c>
      <c r="B12" s="183"/>
      <c r="C12" s="183"/>
      <c r="D12" s="183"/>
      <c r="E12" s="183"/>
      <c r="F12" s="183"/>
      <c r="G12" s="183"/>
      <c r="H12" s="74"/>
      <c r="I12" s="224"/>
      <c r="J12" s="224"/>
      <c r="K12" s="224"/>
      <c r="L12" s="224"/>
      <c r="M12" s="224"/>
      <c r="N12" s="224"/>
    </row>
    <row r="13" spans="1:15" ht="15.75" customHeight="1">
      <c r="A13" s="223" t="s">
        <v>141</v>
      </c>
      <c r="B13" s="223"/>
      <c r="C13" s="223"/>
      <c r="D13" s="223"/>
      <c r="E13" s="76" t="s">
        <v>143</v>
      </c>
      <c r="F13" s="153">
        <v>3</v>
      </c>
      <c r="G13" s="77" t="s">
        <v>216</v>
      </c>
      <c r="H13" s="74"/>
      <c r="I13" s="191"/>
      <c r="J13" s="191"/>
      <c r="K13" s="191"/>
      <c r="L13" s="191"/>
      <c r="M13" s="191"/>
      <c r="N13" s="191"/>
    </row>
    <row r="14" spans="1:15" ht="15.75" customHeight="1">
      <c r="A14" s="223" t="s">
        <v>144</v>
      </c>
      <c r="B14" s="223"/>
      <c r="C14" s="223"/>
      <c r="D14" s="223"/>
      <c r="E14" s="76" t="s">
        <v>145</v>
      </c>
      <c r="F14" s="154">
        <v>5</v>
      </c>
      <c r="G14" s="77" t="s">
        <v>29</v>
      </c>
      <c r="H14" s="74"/>
      <c r="I14" s="221"/>
      <c r="J14" s="221"/>
      <c r="K14" s="221"/>
      <c r="L14" s="221"/>
      <c r="M14" s="221"/>
      <c r="N14" s="221"/>
    </row>
    <row r="15" spans="1:15" ht="15.75" customHeight="1">
      <c r="A15" s="223" t="s">
        <v>146</v>
      </c>
      <c r="B15" s="223"/>
      <c r="C15" s="223"/>
      <c r="D15" s="223"/>
      <c r="E15" s="76" t="s">
        <v>147</v>
      </c>
      <c r="F15" s="154">
        <v>2</v>
      </c>
      <c r="G15" s="77" t="s">
        <v>29</v>
      </c>
      <c r="H15" s="74"/>
      <c r="I15" s="190" t="s">
        <v>227</v>
      </c>
      <c r="J15" s="190"/>
      <c r="K15" s="190"/>
      <c r="L15" s="190"/>
      <c r="M15" s="190"/>
      <c r="N15" s="190"/>
    </row>
    <row r="16" spans="1:15" ht="15.75" customHeight="1">
      <c r="A16" s="223" t="s">
        <v>148</v>
      </c>
      <c r="B16" s="223"/>
      <c r="C16" s="223"/>
      <c r="D16" s="223"/>
      <c r="E16" s="76" t="s">
        <v>151</v>
      </c>
      <c r="F16" s="154">
        <v>12</v>
      </c>
      <c r="G16" s="78" t="s">
        <v>7</v>
      </c>
      <c r="H16" s="74"/>
      <c r="I16" s="190"/>
      <c r="J16" s="190"/>
      <c r="K16" s="190"/>
      <c r="L16" s="190"/>
      <c r="M16" s="190"/>
      <c r="N16" s="190"/>
    </row>
    <row r="17" spans="1:14" ht="15.75" customHeight="1">
      <c r="A17" s="223" t="s">
        <v>149</v>
      </c>
      <c r="B17" s="223"/>
      <c r="C17" s="223"/>
      <c r="D17" s="223"/>
      <c r="E17" s="76" t="s">
        <v>24</v>
      </c>
      <c r="F17" s="154">
        <v>1.5</v>
      </c>
      <c r="G17" s="78" t="s">
        <v>5</v>
      </c>
      <c r="H17" s="74"/>
      <c r="I17" s="224"/>
      <c r="J17" s="224"/>
      <c r="K17" s="224"/>
      <c r="L17" s="224"/>
      <c r="M17" s="224"/>
      <c r="N17" s="224"/>
    </row>
    <row r="18" spans="1:14" ht="15.75" customHeight="1">
      <c r="A18" s="77" t="s">
        <v>153</v>
      </c>
      <c r="B18" s="77"/>
      <c r="C18" s="77"/>
      <c r="D18" s="77"/>
      <c r="E18" s="76" t="s">
        <v>192</v>
      </c>
      <c r="F18" s="154">
        <v>2.8</v>
      </c>
      <c r="G18" s="78" t="s">
        <v>6</v>
      </c>
      <c r="H18" s="74"/>
      <c r="I18" s="7" t="s">
        <v>241</v>
      </c>
      <c r="J18" s="161">
        <v>10</v>
      </c>
      <c r="K18" s="7" t="s">
        <v>42</v>
      </c>
      <c r="L18" s="26" t="s">
        <v>52</v>
      </c>
      <c r="M18" s="160">
        <f>1000*J18/3600</f>
        <v>2.7777777777777777</v>
      </c>
      <c r="N18" s="7" t="s">
        <v>154</v>
      </c>
    </row>
    <row r="19" spans="1:14" s="79" customFormat="1" ht="18">
      <c r="A19" s="20"/>
      <c r="B19" s="20"/>
      <c r="C19" s="20"/>
      <c r="D19" s="20"/>
      <c r="E19" s="21"/>
      <c r="F19" s="81"/>
      <c r="G19" s="28"/>
      <c r="H19" s="74"/>
      <c r="I19" s="20"/>
      <c r="J19" s="20"/>
      <c r="K19" s="20"/>
      <c r="L19" s="82"/>
      <c r="M19" s="83"/>
      <c r="N19" s="20"/>
    </row>
    <row r="20" spans="1:14" s="79" customFormat="1" ht="15.75" customHeight="1">
      <c r="A20" s="182" t="s">
        <v>221</v>
      </c>
      <c r="B20" s="182"/>
      <c r="C20" s="182"/>
      <c r="D20" s="182"/>
      <c r="E20" s="182"/>
      <c r="F20" s="182"/>
      <c r="G20" s="182"/>
      <c r="H20" s="74"/>
      <c r="I20" s="224"/>
      <c r="J20" s="224"/>
      <c r="K20" s="224"/>
      <c r="L20" s="224"/>
      <c r="M20" s="224"/>
      <c r="N20" s="224"/>
    </row>
    <row r="21" spans="1:14" s="79" customFormat="1" ht="15.75" customHeight="1">
      <c r="A21" s="175" t="s">
        <v>242</v>
      </c>
      <c r="B21" s="175"/>
      <c r="C21" s="175"/>
      <c r="D21" s="175"/>
      <c r="E21" s="18" t="s">
        <v>165</v>
      </c>
      <c r="F21" s="122">
        <f>worksheet!AL27</f>
        <v>4.9333333333333336</v>
      </c>
      <c r="G21" s="17" t="s">
        <v>29</v>
      </c>
      <c r="H21" s="74"/>
      <c r="I21" s="192"/>
      <c r="J21" s="192"/>
      <c r="K21" s="192"/>
      <c r="L21" s="192"/>
      <c r="M21" s="192"/>
      <c r="N21" s="192"/>
    </row>
    <row r="22" spans="1:14" ht="15.75" customHeight="1">
      <c r="A22" s="175" t="s">
        <v>243</v>
      </c>
      <c r="B22" s="175"/>
      <c r="C22" s="175"/>
      <c r="D22" s="175"/>
      <c r="E22" s="18" t="s">
        <v>166</v>
      </c>
      <c r="F22" s="140">
        <f>worksheet!AL29</f>
        <v>2.3733333333333335</v>
      </c>
      <c r="G22" s="17" t="s">
        <v>29</v>
      </c>
      <c r="H22" s="74"/>
      <c r="I22" s="192"/>
      <c r="J22" s="192"/>
      <c r="K22" s="192"/>
      <c r="L22" s="192"/>
      <c r="M22" s="192"/>
      <c r="N22" s="192"/>
    </row>
    <row r="23" spans="1:14" ht="15.75" customHeight="1">
      <c r="A23" s="180" t="s">
        <v>27</v>
      </c>
      <c r="B23" s="180"/>
      <c r="C23" s="180"/>
      <c r="D23" s="180"/>
      <c r="E23" s="16" t="s">
        <v>28</v>
      </c>
      <c r="F23" s="122">
        <f>MIN(B28:B128)</f>
        <v>4.9333333333333336</v>
      </c>
      <c r="G23" s="9" t="s">
        <v>29</v>
      </c>
      <c r="I23" s="221"/>
      <c r="J23" s="221"/>
      <c r="K23" s="221"/>
      <c r="L23" s="221"/>
      <c r="M23" s="221"/>
      <c r="N23" s="221"/>
    </row>
    <row r="24" spans="1:14">
      <c r="A24" s="8"/>
      <c r="B24" s="8"/>
      <c r="C24" s="8"/>
      <c r="D24" s="8"/>
      <c r="E24" s="13"/>
      <c r="F24" s="15"/>
      <c r="G24" s="8"/>
      <c r="H24" s="6"/>
      <c r="I24" s="6"/>
    </row>
    <row r="25" spans="1:14" ht="15.75" customHeight="1">
      <c r="A25" s="202" t="s">
        <v>222</v>
      </c>
      <c r="B25" s="202"/>
      <c r="C25" s="202"/>
      <c r="D25" s="202"/>
      <c r="E25" s="202"/>
      <c r="F25" s="202"/>
      <c r="G25" s="202"/>
      <c r="H25" s="6"/>
      <c r="I25" s="6"/>
    </row>
    <row r="26" spans="1:14" ht="15.75" customHeight="1">
      <c r="A26" s="101" t="s">
        <v>11</v>
      </c>
      <c r="B26" s="222" t="s">
        <v>158</v>
      </c>
      <c r="C26" s="222"/>
      <c r="D26" s="88"/>
      <c r="E26" s="88"/>
      <c r="F26" s="88"/>
      <c r="G26" s="89"/>
      <c r="H26" s="87"/>
      <c r="I26" s="85"/>
      <c r="J26" s="85"/>
      <c r="K26" s="84"/>
      <c r="L26" s="84"/>
      <c r="M26" s="84"/>
      <c r="N26" s="84"/>
    </row>
    <row r="27" spans="1:14" ht="15.75" customHeight="1">
      <c r="A27" s="100" t="s">
        <v>21</v>
      </c>
      <c r="B27" s="169" t="s">
        <v>161</v>
      </c>
      <c r="C27" s="169"/>
      <c r="D27" s="90"/>
      <c r="E27" s="90"/>
      <c r="F27" s="90"/>
      <c r="G27" s="79"/>
      <c r="H27" s="70"/>
      <c r="I27" s="6"/>
      <c r="J27" s="6"/>
    </row>
    <row r="28" spans="1:14" s="79" customFormat="1" ht="15.75" customHeight="1">
      <c r="A28" s="141">
        <f>worksheet!AF42</f>
        <v>0</v>
      </c>
      <c r="B28" s="220">
        <f>worksheet!AM42</f>
        <v>4.9333333333333336</v>
      </c>
      <c r="C28" s="220"/>
      <c r="D28"/>
      <c r="E28" s="91"/>
      <c r="F28" s="91"/>
      <c r="H28" s="72"/>
      <c r="I28" s="6"/>
      <c r="J28" s="6"/>
      <c r="K28"/>
      <c r="L28"/>
      <c r="M28"/>
      <c r="N28"/>
    </row>
    <row r="29" spans="1:14" ht="15.75" customHeight="1">
      <c r="A29" s="141">
        <f>worksheet!AF43</f>
        <v>1</v>
      </c>
      <c r="B29" s="220">
        <f>worksheet!AM43</f>
        <v>6.2464659925768711</v>
      </c>
      <c r="C29" s="220"/>
      <c r="D29" s="91"/>
      <c r="E29" s="91"/>
      <c r="F29" s="91"/>
      <c r="G29" s="79"/>
      <c r="H29" s="72"/>
      <c r="I29" s="6"/>
      <c r="J29" s="6"/>
    </row>
    <row r="30" spans="1:14" ht="15.75" customHeight="1">
      <c r="A30" s="141">
        <f>worksheet!AF44</f>
        <v>2</v>
      </c>
      <c r="B30" s="220">
        <f>worksheet!AM44</f>
        <v>7.200195642039299</v>
      </c>
      <c r="C30" s="220"/>
      <c r="D30" s="91"/>
      <c r="E30" s="91"/>
      <c r="F30" s="91"/>
      <c r="G30" s="79"/>
      <c r="H30" s="72"/>
      <c r="I30" s="6"/>
      <c r="J30" s="6"/>
    </row>
    <row r="31" spans="1:14" ht="15.75" customHeight="1">
      <c r="A31" s="141">
        <f>worksheet!AF45</f>
        <v>3</v>
      </c>
      <c r="B31" s="220">
        <f>worksheet!AM45</f>
        <v>7.8900407832051513</v>
      </c>
      <c r="C31" s="220"/>
      <c r="D31" s="91"/>
      <c r="E31" s="91"/>
      <c r="F31" s="91"/>
      <c r="G31" s="79"/>
      <c r="H31" s="72"/>
      <c r="I31" s="6"/>
    </row>
    <row r="32" spans="1:14" s="84" customFormat="1" ht="15.75" customHeight="1">
      <c r="A32" s="141">
        <f>worksheet!AF46</f>
        <v>4</v>
      </c>
      <c r="B32" s="220">
        <f>worksheet!AM46</f>
        <v>8.3862125364480793</v>
      </c>
      <c r="C32" s="220"/>
      <c r="D32" s="91"/>
      <c r="E32" s="91"/>
      <c r="F32" s="91"/>
      <c r="G32" s="79"/>
      <c r="H32" s="72"/>
      <c r="I32" s="6"/>
      <c r="J32" s="6"/>
      <c r="K32"/>
      <c r="L32"/>
      <c r="M32"/>
      <c r="N32"/>
    </row>
    <row r="33" spans="1:10" ht="15.75" customHeight="1">
      <c r="A33" s="141">
        <f>worksheet!AF47</f>
        <v>5</v>
      </c>
      <c r="B33" s="220">
        <f>worksheet!AM47</f>
        <v>8.7403175361152545</v>
      </c>
      <c r="C33" s="220"/>
      <c r="D33" s="91"/>
      <c r="E33" s="91"/>
      <c r="F33" s="91"/>
      <c r="G33" s="79"/>
      <c r="H33" s="72"/>
      <c r="I33" s="6"/>
      <c r="J33" s="6"/>
    </row>
    <row r="34" spans="1:10" ht="15.75" customHeight="1">
      <c r="A34" s="141">
        <f>worksheet!AF48</f>
        <v>6</v>
      </c>
      <c r="B34" s="220">
        <f>worksheet!AM48</f>
        <v>8.9902855650734423</v>
      </c>
      <c r="C34" s="220"/>
      <c r="D34" s="91"/>
      <c r="E34" s="91"/>
      <c r="F34" s="91"/>
      <c r="G34" s="79"/>
      <c r="H34" s="72"/>
      <c r="I34" s="6"/>
      <c r="J34" s="6"/>
    </row>
    <row r="35" spans="1:10" ht="15.75" customHeight="1">
      <c r="A35" s="141">
        <f>worksheet!AF49</f>
        <v>7</v>
      </c>
      <c r="B35" s="220">
        <f>worksheet!AM49</f>
        <v>9.163992104336435</v>
      </c>
      <c r="C35" s="220"/>
      <c r="D35" s="91"/>
      <c r="E35" s="91"/>
      <c r="F35" s="91"/>
      <c r="G35" s="79"/>
      <c r="H35" s="72"/>
      <c r="I35" s="6"/>
      <c r="J35" s="6"/>
    </row>
    <row r="36" spans="1:10" ht="15.75" customHeight="1">
      <c r="A36" s="141">
        <f>worksheet!AF50</f>
        <v>8</v>
      </c>
      <c r="B36" s="220">
        <f>worksheet!AM50</f>
        <v>9.2819214479972967</v>
      </c>
      <c r="C36" s="220"/>
      <c r="D36" s="91"/>
      <c r="E36" s="91"/>
      <c r="F36" s="91"/>
      <c r="G36" s="79"/>
      <c r="H36" s="72"/>
      <c r="I36" s="6"/>
      <c r="J36" s="6"/>
    </row>
    <row r="37" spans="1:10" ht="15.75" customHeight="1">
      <c r="A37" s="141">
        <f>worksheet!AF51</f>
        <v>9</v>
      </c>
      <c r="B37" s="220">
        <f>worksheet!AM51</f>
        <v>9.3591244886791944</v>
      </c>
      <c r="C37" s="220"/>
      <c r="D37" s="91"/>
      <c r="E37" s="91"/>
      <c r="F37" s="91"/>
      <c r="G37" s="79"/>
      <c r="H37" s="72"/>
      <c r="I37" s="6"/>
      <c r="J37" s="6"/>
    </row>
    <row r="38" spans="1:10" ht="15.75" customHeight="1">
      <c r="A38" s="141">
        <f>worksheet!AF52</f>
        <v>10</v>
      </c>
      <c r="B38" s="220">
        <f>worksheet!AM52</f>
        <v>9.4066579792834393</v>
      </c>
      <c r="C38" s="220"/>
      <c r="D38" s="91"/>
      <c r="E38" s="91"/>
      <c r="F38" s="91"/>
      <c r="G38" s="79"/>
      <c r="H38" s="72"/>
      <c r="I38" s="6"/>
      <c r="J38" s="6"/>
    </row>
    <row r="39" spans="1:10" ht="15.75" customHeight="1">
      <c r="A39" s="141">
        <f>worksheet!AF53</f>
        <v>11</v>
      </c>
      <c r="B39" s="220">
        <f>worksheet!AM53</f>
        <v>9.4326426015447407</v>
      </c>
      <c r="C39" s="220"/>
      <c r="D39" s="91"/>
      <c r="E39" s="91"/>
      <c r="F39" s="91"/>
      <c r="G39" s="79"/>
      <c r="H39" s="72"/>
      <c r="I39" s="6"/>
      <c r="J39" s="6"/>
    </row>
    <row r="40" spans="1:10" ht="15.75" customHeight="1">
      <c r="A40" s="141">
        <f>worksheet!AF54</f>
        <v>12</v>
      </c>
      <c r="B40" s="220">
        <f>worksheet!AM54</f>
        <v>9.443040800094515</v>
      </c>
      <c r="C40" s="220"/>
      <c r="D40" s="91"/>
      <c r="E40" s="91"/>
      <c r="F40" s="91"/>
      <c r="G40" s="79"/>
      <c r="H40" s="72"/>
      <c r="I40" s="6"/>
      <c r="J40" s="6"/>
    </row>
    <row r="41" spans="1:10" ht="15.75" customHeight="1">
      <c r="A41" s="141">
        <f>worksheet!AF55</f>
        <v>13</v>
      </c>
      <c r="B41" s="220">
        <f>worksheet!AM55</f>
        <v>9.4422286019495232</v>
      </c>
      <c r="C41" s="220"/>
      <c r="D41" s="91"/>
      <c r="E41" s="91"/>
      <c r="F41" s="91"/>
      <c r="G41" s="79"/>
      <c r="H41" s="72"/>
      <c r="I41" s="6"/>
      <c r="J41" s="6"/>
    </row>
    <row r="42" spans="1:10" ht="15.75" customHeight="1">
      <c r="A42" s="141">
        <f>worksheet!AF56</f>
        <v>14</v>
      </c>
      <c r="B42" s="220">
        <f>worksheet!AM56</f>
        <v>9.4334159842911554</v>
      </c>
      <c r="C42" s="220"/>
      <c r="D42" s="91"/>
      <c r="E42" s="91"/>
      <c r="F42" s="91"/>
      <c r="G42" s="79"/>
      <c r="H42" s="72"/>
      <c r="I42" s="6"/>
      <c r="J42" s="6"/>
    </row>
    <row r="43" spans="1:10" ht="15.75" customHeight="1">
      <c r="A43" s="141">
        <f>worksheet!AF57</f>
        <v>15</v>
      </c>
      <c r="B43" s="220">
        <f>worksheet!AM57</f>
        <v>9.5462390903645638</v>
      </c>
      <c r="C43" s="220"/>
      <c r="D43" s="91"/>
      <c r="E43" s="91"/>
      <c r="F43" s="91"/>
      <c r="G43" s="79"/>
      <c r="H43" s="72"/>
      <c r="I43" s="6"/>
      <c r="J43" s="6"/>
    </row>
    <row r="44" spans="1:10" ht="15.75" customHeight="1">
      <c r="A44" s="141">
        <f>worksheet!AF58</f>
        <v>16</v>
      </c>
      <c r="B44" s="220">
        <f>worksheet!AM58</f>
        <v>9.6337073086020357</v>
      </c>
      <c r="C44" s="220"/>
      <c r="D44" s="91"/>
      <c r="E44" s="91"/>
      <c r="F44" s="91"/>
      <c r="G44" s="79"/>
      <c r="H44" s="72"/>
      <c r="I44" s="6"/>
      <c r="J44" s="6"/>
    </row>
    <row r="45" spans="1:10" ht="15.75" customHeight="1">
      <c r="A45" s="141">
        <f>worksheet!AF59</f>
        <v>17</v>
      </c>
      <c r="B45" s="220">
        <f>worksheet!AM59</f>
        <v>9.7022316513959961</v>
      </c>
      <c r="C45" s="220"/>
      <c r="D45" s="91"/>
      <c r="E45" s="91"/>
      <c r="F45" s="91"/>
      <c r="G45" s="79"/>
      <c r="H45" s="72"/>
      <c r="I45" s="6"/>
      <c r="J45" s="6"/>
    </row>
    <row r="46" spans="1:10" ht="15.75" customHeight="1">
      <c r="A46" s="141">
        <f>worksheet!AF60</f>
        <v>18</v>
      </c>
      <c r="B46" s="220">
        <f>worksheet!AM60</f>
        <v>9.7565896765585727</v>
      </c>
      <c r="C46" s="220"/>
      <c r="D46" s="91"/>
      <c r="E46" s="91"/>
      <c r="F46" s="91"/>
      <c r="G46" s="79"/>
      <c r="H46" s="72"/>
      <c r="I46" s="6"/>
      <c r="J46" s="6"/>
    </row>
    <row r="47" spans="1:10" ht="15.75" customHeight="1">
      <c r="A47" s="141">
        <f>worksheet!AF61</f>
        <v>19</v>
      </c>
      <c r="B47" s="220">
        <f>worksheet!AM61</f>
        <v>9.8003418657430714</v>
      </c>
      <c r="C47" s="220"/>
      <c r="D47" s="91"/>
      <c r="E47" s="91"/>
      <c r="F47" s="91"/>
      <c r="G47" s="79"/>
      <c r="H47" s="72"/>
      <c r="I47" s="6"/>
      <c r="J47" s="6"/>
    </row>
    <row r="48" spans="1:10" ht="15.75" customHeight="1">
      <c r="A48" s="141">
        <f>worksheet!AF62</f>
        <v>20</v>
      </c>
      <c r="B48" s="220">
        <f>worksheet!AM62</f>
        <v>9.8361418622837711</v>
      </c>
      <c r="C48" s="220"/>
      <c r="D48" s="91"/>
      <c r="E48" s="91"/>
      <c r="F48" s="91"/>
      <c r="G48" s="79"/>
      <c r="H48" s="72"/>
      <c r="I48" s="6"/>
      <c r="J48" s="6"/>
    </row>
    <row r="49" spans="1:10" ht="15.75" customHeight="1">
      <c r="A49" s="141">
        <f>worksheet!AF63</f>
        <v>21</v>
      </c>
      <c r="B49" s="220">
        <f>worksheet!AM63</f>
        <v>9.865967625192356</v>
      </c>
      <c r="C49" s="220"/>
      <c r="D49" s="91"/>
      <c r="E49" s="91"/>
      <c r="F49" s="91"/>
      <c r="G49" s="79"/>
      <c r="H49" s="72"/>
      <c r="I49" s="6"/>
      <c r="J49" s="6"/>
    </row>
    <row r="50" spans="1:10" ht="15.75" customHeight="1">
      <c r="A50" s="141">
        <f>worksheet!AF64</f>
        <v>22</v>
      </c>
      <c r="B50" s="220">
        <f>worksheet!AM64</f>
        <v>9.891293658902601</v>
      </c>
      <c r="C50" s="220"/>
      <c r="D50" s="91"/>
      <c r="E50" s="91"/>
      <c r="F50" s="91"/>
      <c r="G50" s="79"/>
      <c r="H50" s="72"/>
      <c r="I50" s="6"/>
      <c r="J50" s="6"/>
    </row>
    <row r="51" spans="1:10" ht="15.75" customHeight="1">
      <c r="A51" s="141">
        <f>worksheet!AF65</f>
        <v>23</v>
      </c>
      <c r="B51" s="220">
        <f>worksheet!AM65</f>
        <v>9.913219339388851</v>
      </c>
      <c r="C51" s="220"/>
      <c r="D51" s="91"/>
      <c r="E51" s="91"/>
      <c r="F51" s="91"/>
      <c r="G51" s="79"/>
      <c r="H51" s="72"/>
      <c r="I51" s="6"/>
      <c r="J51" s="6"/>
    </row>
    <row r="52" spans="1:10" ht="15.75" customHeight="1">
      <c r="A52" s="141">
        <f>worksheet!AF66</f>
        <v>24</v>
      </c>
      <c r="B52" s="220">
        <f>worksheet!AM66</f>
        <v>9.9325645283131667</v>
      </c>
      <c r="C52" s="220"/>
      <c r="D52" s="91"/>
      <c r="E52" s="91"/>
      <c r="F52" s="91"/>
      <c r="G52" s="79"/>
      <c r="H52" s="72"/>
      <c r="I52" s="6"/>
      <c r="J52" s="6"/>
    </row>
    <row r="53" spans="1:10" ht="15.75" customHeight="1">
      <c r="A53" s="141">
        <f>worksheet!AF67</f>
        <v>25</v>
      </c>
      <c r="B53" s="220">
        <f>worksheet!AM67</f>
        <v>9.9499408139443215</v>
      </c>
      <c r="C53" s="220"/>
      <c r="D53" s="91"/>
      <c r="E53" s="91"/>
      <c r="F53" s="91"/>
      <c r="G53" s="79"/>
      <c r="H53" s="72"/>
      <c r="I53" s="6"/>
      <c r="J53" s="6"/>
    </row>
    <row r="54" spans="1:10" ht="15.75" customHeight="1">
      <c r="A54" s="141">
        <f>worksheet!AF68</f>
        <v>26</v>
      </c>
      <c r="B54" s="220">
        <f>worksheet!AM68</f>
        <v>9.9658045919278599</v>
      </c>
      <c r="C54" s="220"/>
      <c r="D54" s="91"/>
      <c r="E54" s="91"/>
      <c r="F54" s="91"/>
      <c r="G54" s="79"/>
      <c r="H54" s="72"/>
      <c r="I54" s="6"/>
      <c r="J54" s="6"/>
    </row>
    <row r="55" spans="1:10" ht="15.75" customHeight="1">
      <c r="A55" s="141">
        <f>worksheet!AF69</f>
        <v>27</v>
      </c>
      <c r="B55" s="220">
        <f>worksheet!AM69</f>
        <v>9.9804966151843679</v>
      </c>
      <c r="C55" s="220"/>
      <c r="D55" s="91"/>
      <c r="E55" s="91"/>
      <c r="F55" s="91"/>
      <c r="G55" s="79"/>
      <c r="H55" s="72"/>
      <c r="I55" s="6"/>
      <c r="J55" s="6"/>
    </row>
    <row r="56" spans="1:10" ht="15.75" customHeight="1">
      <c r="A56" s="141">
        <f>worksheet!AF70</f>
        <v>28</v>
      </c>
      <c r="B56" s="220">
        <f>worksheet!AM70</f>
        <v>9.9942714621446544</v>
      </c>
      <c r="C56" s="220"/>
      <c r="D56" s="91"/>
      <c r="E56" s="91"/>
      <c r="F56" s="91"/>
      <c r="G56" s="79"/>
      <c r="H56" s="72"/>
      <c r="I56" s="6"/>
      <c r="J56" s="6"/>
    </row>
    <row r="57" spans="1:10" ht="15.75" customHeight="1">
      <c r="A57" s="141">
        <f>worksheet!AF71</f>
        <v>29</v>
      </c>
      <c r="B57" s="220">
        <f>worksheet!AM71</f>
        <v>10.007319493278333</v>
      </c>
      <c r="C57" s="220"/>
      <c r="D57" s="91"/>
      <c r="E57" s="91"/>
      <c r="F57" s="91"/>
      <c r="G57" s="79"/>
      <c r="H57" s="72"/>
      <c r="I57" s="6"/>
      <c r="J57" s="6"/>
    </row>
    <row r="58" spans="1:10" ht="15.75" customHeight="1">
      <c r="A58" s="141">
        <f>worksheet!AF72</f>
        <v>30</v>
      </c>
      <c r="B58" s="220">
        <f>worksheet!AM72</f>
        <v>10.019783210753944</v>
      </c>
      <c r="C58" s="220"/>
      <c r="D58" s="91"/>
      <c r="E58" s="91"/>
      <c r="F58" s="91"/>
      <c r="G58" s="79"/>
      <c r="H58" s="72"/>
      <c r="I58" s="6"/>
      <c r="J58" s="6"/>
    </row>
    <row r="59" spans="1:10" ht="15.75" customHeight="1">
      <c r="A59" s="141">
        <f>worksheet!AF73</f>
        <v>31</v>
      </c>
      <c r="B59" s="220">
        <f>worksheet!AM73</f>
        <v>10.031769447949339</v>
      </c>
      <c r="C59" s="220"/>
      <c r="D59" s="91"/>
      <c r="E59" s="91"/>
      <c r="F59" s="91"/>
      <c r="G59" s="79"/>
      <c r="H59" s="72"/>
      <c r="I59" s="6"/>
      <c r="J59" s="6"/>
    </row>
    <row r="60" spans="1:10" ht="15.75" customHeight="1">
      <c r="A60" s="141">
        <f>worksheet!AF74</f>
        <v>32</v>
      </c>
      <c r="B60" s="220">
        <f>worksheet!AM74</f>
        <v>10.043358451840252</v>
      </c>
      <c r="C60" s="220"/>
      <c r="D60" s="91"/>
      <c r="E60" s="91"/>
      <c r="F60" s="91"/>
      <c r="G60" s="79"/>
      <c r="H60" s="72"/>
      <c r="I60" s="6"/>
      <c r="J60" s="6"/>
    </row>
    <row r="61" spans="1:10" ht="15.75" customHeight="1">
      <c r="A61" s="141">
        <f>worksheet!AF75</f>
        <v>33</v>
      </c>
      <c r="B61" s="220">
        <f>worksheet!AM75</f>
        <v>10.054610650314116</v>
      </c>
      <c r="C61" s="220"/>
      <c r="D61" s="91"/>
      <c r="E61" s="91"/>
      <c r="F61" s="91"/>
      <c r="G61" s="79"/>
      <c r="H61" s="72"/>
      <c r="I61" s="6"/>
      <c r="J61" s="6"/>
    </row>
    <row r="62" spans="1:10" ht="15.75" customHeight="1">
      <c r="A62" s="141">
        <f>worksheet!AF76</f>
        <v>34</v>
      </c>
      <c r="B62" s="220">
        <f>worksheet!AM76</f>
        <v>10.065571694552142</v>
      </c>
      <c r="C62" s="220"/>
      <c r="D62" s="91"/>
      <c r="E62" s="91"/>
      <c r="F62" s="91"/>
      <c r="G62" s="79"/>
      <c r="H62" s="72"/>
      <c r="I62" s="6"/>
      <c r="J62" s="6"/>
    </row>
    <row r="63" spans="1:10" ht="15.75" customHeight="1">
      <c r="A63" s="141">
        <f>worksheet!AF77</f>
        <v>35</v>
      </c>
      <c r="B63" s="220">
        <f>worksheet!AM77</f>
        <v>10.07627621618693</v>
      </c>
      <c r="C63" s="220"/>
      <c r="D63" s="91"/>
      <c r="E63" s="91"/>
      <c r="F63" s="91"/>
      <c r="G63" s="79"/>
      <c r="H63" s="72"/>
      <c r="I63" s="6"/>
      <c r="J63" s="6"/>
    </row>
    <row r="64" spans="1:10" ht="15.75" customHeight="1">
      <c r="A64" s="141">
        <f>worksheet!AF78</f>
        <v>36</v>
      </c>
      <c r="B64" s="220">
        <f>worksheet!AM78</f>
        <v>10.086750626855247</v>
      </c>
      <c r="C64" s="220"/>
      <c r="D64" s="91"/>
      <c r="E64" s="91"/>
      <c r="F64" s="91"/>
      <c r="G64" s="79"/>
      <c r="H64" s="72"/>
      <c r="I64" s="6"/>
      <c r="J64" s="6"/>
    </row>
    <row r="65" spans="1:10" ht="15.75" customHeight="1">
      <c r="A65" s="141">
        <f>worksheet!AF79</f>
        <v>37</v>
      </c>
      <c r="B65" s="220">
        <f>worksheet!AM79</f>
        <v>10.097015204250791</v>
      </c>
      <c r="C65" s="220"/>
      <c r="D65" s="91"/>
      <c r="E65" s="91"/>
      <c r="F65" s="91"/>
      <c r="G65" s="79"/>
      <c r="H65" s="72"/>
      <c r="I65" s="6"/>
      <c r="J65" s="6"/>
    </row>
    <row r="66" spans="1:10" ht="15.75" customHeight="1">
      <c r="A66" s="141">
        <f>worksheet!AF80</f>
        <v>38</v>
      </c>
      <c r="B66" s="220">
        <f>worksheet!AM80</f>
        <v>10.107085646555957</v>
      </c>
      <c r="C66" s="220"/>
      <c r="D66" s="91"/>
      <c r="E66" s="91"/>
      <c r="F66" s="91"/>
      <c r="G66" s="79"/>
      <c r="H66" s="72"/>
      <c r="I66" s="6"/>
      <c r="J66" s="6"/>
    </row>
    <row r="67" spans="1:10" ht="15.75" customHeight="1">
      <c r="A67" s="141">
        <f>worksheet!AF81</f>
        <v>39</v>
      </c>
      <c r="B67" s="220">
        <f>worksheet!AM81</f>
        <v>10.116974230768163</v>
      </c>
      <c r="C67" s="220"/>
      <c r="D67" s="91"/>
      <c r="E67" s="91"/>
      <c r="F67" s="91"/>
      <c r="G67" s="79"/>
      <c r="H67" s="72"/>
      <c r="I67" s="6"/>
      <c r="J67" s="6"/>
    </row>
    <row r="68" spans="1:10" ht="15.75" customHeight="1">
      <c r="A68" s="141">
        <f>worksheet!AF82</f>
        <v>40</v>
      </c>
      <c r="B68" s="220">
        <f>worksheet!AM82</f>
        <v>10.126690675891462</v>
      </c>
      <c r="C68" s="220"/>
      <c r="D68" s="91"/>
      <c r="E68" s="91"/>
      <c r="F68" s="91"/>
      <c r="G68" s="79"/>
      <c r="H68" s="72"/>
      <c r="I68" s="6"/>
      <c r="J68" s="6"/>
    </row>
    <row r="69" spans="1:10" ht="15.75" customHeight="1">
      <c r="A69" s="141">
        <f>worksheet!AF83</f>
        <v>41</v>
      </c>
      <c r="B69" s="220">
        <f>worksheet!AM83</f>
        <v>10.136242786225321</v>
      </c>
      <c r="C69" s="220"/>
      <c r="D69" s="79"/>
      <c r="E69" s="79"/>
      <c r="F69" s="79"/>
      <c r="G69" s="79"/>
      <c r="H69" s="79"/>
    </row>
    <row r="70" spans="1:10" ht="15.75" customHeight="1">
      <c r="A70" s="141">
        <f>worksheet!AF84</f>
        <v>42</v>
      </c>
      <c r="B70" s="220">
        <f>worksheet!AM84</f>
        <v>10.14563693080483</v>
      </c>
      <c r="C70" s="220"/>
      <c r="D70" s="79"/>
      <c r="E70" s="79"/>
      <c r="F70" s="79"/>
      <c r="G70" s="79"/>
      <c r="H70" s="79"/>
    </row>
    <row r="71" spans="1:10" ht="15.75" customHeight="1">
      <c r="A71" s="141">
        <f>worksheet!AF85</f>
        <v>43</v>
      </c>
      <c r="B71" s="220">
        <f>worksheet!AM85</f>
        <v>10.1548784007576</v>
      </c>
      <c r="C71" s="220"/>
      <c r="D71" s="79"/>
      <c r="E71" s="79"/>
      <c r="F71" s="79"/>
      <c r="G71" s="79"/>
      <c r="H71" s="79"/>
    </row>
    <row r="72" spans="1:10" ht="15.75" customHeight="1">
      <c r="A72" s="141">
        <f>worksheet!AF86</f>
        <v>44</v>
      </c>
      <c r="B72" s="220">
        <f>worksheet!AM86</f>
        <v>10.16397167569605</v>
      </c>
      <c r="C72" s="220"/>
      <c r="D72" s="79"/>
      <c r="E72" s="79"/>
      <c r="F72" s="79"/>
      <c r="G72" s="79"/>
      <c r="H72" s="79"/>
    </row>
    <row r="73" spans="1:10" ht="15.75" customHeight="1">
      <c r="A73" s="141">
        <f>worksheet!AF87</f>
        <v>45</v>
      </c>
      <c r="B73" s="220">
        <f>worksheet!AM87</f>
        <v>10.172920622331288</v>
      </c>
      <c r="C73" s="220"/>
      <c r="D73"/>
    </row>
    <row r="74" spans="1:10" ht="15.75" customHeight="1">
      <c r="A74" s="141">
        <f>worksheet!AF88</f>
        <v>46</v>
      </c>
      <c r="B74" s="220">
        <f>worksheet!AM88</f>
        <v>10.181728642584252</v>
      </c>
      <c r="C74" s="220"/>
      <c r="D74"/>
    </row>
    <row r="75" spans="1:10" ht="15.75" customHeight="1">
      <c r="A75" s="141">
        <f>worksheet!AF89</f>
        <v>47</v>
      </c>
      <c r="B75" s="220">
        <f>worksheet!AM89</f>
        <v>10.190398784066044</v>
      </c>
      <c r="C75" s="220"/>
      <c r="D75"/>
    </row>
    <row r="76" spans="1:10" ht="15.75" customHeight="1">
      <c r="A76" s="141">
        <f>worksheet!AF90</f>
        <v>48</v>
      </c>
      <c r="B76" s="220">
        <f>worksheet!AM90</f>
        <v>10.198933822518171</v>
      </c>
      <c r="C76" s="220"/>
      <c r="D76"/>
    </row>
    <row r="77" spans="1:10" ht="15.75" customHeight="1">
      <c r="A77" s="141">
        <f>worksheet!AF91</f>
        <v>49</v>
      </c>
      <c r="B77" s="220">
        <f>worksheet!AM91</f>
        <v>10.207336323358605</v>
      </c>
      <c r="C77" s="220"/>
      <c r="D77"/>
    </row>
    <row r="78" spans="1:10" ht="15.75" customHeight="1">
      <c r="A78" s="141">
        <f>worksheet!AF92</f>
        <v>50</v>
      </c>
      <c r="B78" s="220">
        <f>worksheet!AM92</f>
        <v>10.215608687658046</v>
      </c>
      <c r="C78" s="220"/>
      <c r="D78"/>
    </row>
    <row r="79" spans="1:10" ht="15.75" customHeight="1">
      <c r="A79" s="141">
        <f>worksheet!AF93</f>
        <v>51</v>
      </c>
      <c r="B79" s="220">
        <f>worksheet!AM93</f>
        <v>10.223753186513505</v>
      </c>
      <c r="C79" s="220"/>
      <c r="D79"/>
    </row>
    <row r="80" spans="1:10" ht="15.75" customHeight="1">
      <c r="A80" s="141">
        <f>worksheet!AF94</f>
        <v>52</v>
      </c>
      <c r="B80" s="220">
        <f>worksheet!AM94</f>
        <v>10.231771986775113</v>
      </c>
      <c r="C80" s="220"/>
      <c r="D80"/>
    </row>
    <row r="81" spans="1:4" ht="15.75" customHeight="1">
      <c r="A81" s="141">
        <f>worksheet!AF95</f>
        <v>53</v>
      </c>
      <c r="B81" s="220">
        <f>worksheet!AM95</f>
        <v>10.239667170328532</v>
      </c>
      <c r="C81" s="220"/>
      <c r="D81"/>
    </row>
    <row r="82" spans="1:4" ht="15.75" customHeight="1">
      <c r="A82" s="141">
        <f>worksheet!AF96</f>
        <v>54</v>
      </c>
      <c r="B82" s="220">
        <f>worksheet!AM96</f>
        <v>10.24744074857403</v>
      </c>
      <c r="C82" s="220"/>
      <c r="D82"/>
    </row>
    <row r="83" spans="1:4" ht="15.75" customHeight="1">
      <c r="A83" s="141">
        <f>worksheet!AF97</f>
        <v>55</v>
      </c>
      <c r="B83" s="220">
        <f>worksheet!AM97</f>
        <v>10.255094673324903</v>
      </c>
      <c r="C83" s="220"/>
      <c r="D83"/>
    </row>
    <row r="84" spans="1:4" ht="15.75" customHeight="1">
      <c r="A84" s="141">
        <f>worksheet!AF98</f>
        <v>56</v>
      </c>
      <c r="B84" s="220">
        <f>worksheet!AM98</f>
        <v>10.262630845036336</v>
      </c>
      <c r="C84" s="220"/>
      <c r="D84"/>
    </row>
    <row r="85" spans="1:4" ht="15.75" customHeight="1">
      <c r="A85" s="141">
        <f>worksheet!AF99</f>
        <v>57</v>
      </c>
      <c r="B85" s="220">
        <f>worksheet!AM99</f>
        <v>10.270051119043528</v>
      </c>
      <c r="C85" s="220"/>
      <c r="D85"/>
    </row>
    <row r="86" spans="1:4" ht="15.75" customHeight="1">
      <c r="A86" s="141">
        <f>worksheet!AF100</f>
        <v>58</v>
      </c>
      <c r="B86" s="220">
        <f>worksheet!AM100</f>
        <v>10.277357310314907</v>
      </c>
      <c r="C86" s="220"/>
      <c r="D86"/>
    </row>
    <row r="87" spans="1:4" ht="15.75" customHeight="1">
      <c r="A87" s="141">
        <f>worksheet!AF101</f>
        <v>59</v>
      </c>
      <c r="B87" s="220">
        <f>worksheet!AM101</f>
        <v>10.284551197097352</v>
      </c>
      <c r="C87" s="220"/>
      <c r="D87"/>
    </row>
    <row r="88" spans="1:4" ht="15.75" customHeight="1">
      <c r="A88" s="141">
        <f>worksheet!AF102</f>
        <v>60</v>
      </c>
      <c r="B88" s="220">
        <f>worksheet!AM102</f>
        <v>10.291634523734261</v>
      </c>
      <c r="C88" s="220"/>
      <c r="D88"/>
    </row>
    <row r="89" spans="1:4" ht="15.75" customHeight="1">
      <c r="A89" s="141">
        <f>worksheet!AF103</f>
        <v>61</v>
      </c>
      <c r="B89" s="220">
        <f>worksheet!AM103</f>
        <v>10.298609002865756</v>
      </c>
      <c r="C89" s="220"/>
      <c r="D89"/>
    </row>
    <row r="90" spans="1:4" ht="15.75" customHeight="1">
      <c r="A90" s="141">
        <f>worksheet!AF104</f>
        <v>62</v>
      </c>
      <c r="B90" s="220">
        <f>worksheet!AM104</f>
        <v>10.30547631716699</v>
      </c>
      <c r="C90" s="220"/>
      <c r="D90"/>
    </row>
    <row r="91" spans="1:4" ht="15.75" customHeight="1">
      <c r="A91" s="141">
        <f>worksheet!AF105</f>
        <v>63</v>
      </c>
      <c r="B91" s="220">
        <f>worksheet!AM105</f>
        <v>10.312238120740762</v>
      </c>
      <c r="C91" s="220"/>
      <c r="D91"/>
    </row>
    <row r="92" spans="1:4" ht="15.75" customHeight="1">
      <c r="A92" s="141">
        <f>worksheet!AF106</f>
        <v>64</v>
      </c>
      <c r="B92" s="220">
        <f>worksheet!AM106</f>
        <v>10.318896040251083</v>
      </c>
      <c r="C92" s="220"/>
      <c r="D92"/>
    </row>
    <row r="93" spans="1:4" ht="15.75" customHeight="1">
      <c r="A93" s="141">
        <f>worksheet!AF107</f>
        <v>65</v>
      </c>
      <c r="B93" s="220">
        <f>worksheet!AM107</f>
        <v>10.325451675862251</v>
      </c>
      <c r="C93" s="220"/>
      <c r="D93"/>
    </row>
    <row r="94" spans="1:4" ht="15.75" customHeight="1">
      <c r="A94" s="141">
        <f>worksheet!AF108</f>
        <v>66</v>
      </c>
      <c r="B94" s="220">
        <f>worksheet!AM108</f>
        <v>10.33190660203155</v>
      </c>
      <c r="C94" s="220"/>
      <c r="D94"/>
    </row>
    <row r="95" spans="1:4" ht="15.75" customHeight="1">
      <c r="A95" s="141">
        <f>worksheet!AF109</f>
        <v>67</v>
      </c>
      <c r="B95" s="220">
        <f>worksheet!AM109</f>
        <v>10.338262368191474</v>
      </c>
      <c r="C95" s="220"/>
      <c r="D95"/>
    </row>
    <row r="96" spans="1:4" ht="15.75" customHeight="1">
      <c r="A96" s="141">
        <f>worksheet!AF110</f>
        <v>68</v>
      </c>
      <c r="B96" s="220">
        <f>worksheet!AM110</f>
        <v>10.344520499348222</v>
      </c>
      <c r="C96" s="220"/>
      <c r="D96"/>
    </row>
    <row r="97" spans="1:4" ht="15.75" customHeight="1">
      <c r="A97" s="141">
        <f>worksheet!AF111</f>
        <v>69</v>
      </c>
      <c r="B97" s="220">
        <f>worksheet!AM111</f>
        <v>10.350682496616425</v>
      </c>
      <c r="C97" s="220"/>
      <c r="D97"/>
    </row>
    <row r="98" spans="1:4" ht="15.75" customHeight="1">
      <c r="A98" s="141">
        <f>worksheet!AF112</f>
        <v>70</v>
      </c>
      <c r="B98" s="220">
        <f>worksheet!AM112</f>
        <v>10.35674983770499</v>
      </c>
      <c r="C98" s="220"/>
      <c r="D98"/>
    </row>
    <row r="99" spans="1:4" ht="15.75" customHeight="1">
      <c r="A99" s="141">
        <f>worksheet!AF113</f>
        <v>71</v>
      </c>
      <c r="B99" s="220">
        <f>worksheet!AM113</f>
        <v>10.36272397736519</v>
      </c>
      <c r="C99" s="220"/>
      <c r="D99"/>
    </row>
    <row r="100" spans="1:4" ht="15.75" customHeight="1">
      <c r="A100" s="141">
        <f>worksheet!AF114</f>
        <v>72</v>
      </c>
      <c r="B100" s="220">
        <f>worksheet!AM114</f>
        <v>10.368606347809294</v>
      </c>
      <c r="C100" s="220"/>
      <c r="D100"/>
    </row>
    <row r="101" spans="1:4" ht="15.75" customHeight="1">
      <c r="A101" s="141">
        <f>worksheet!AF115</f>
        <v>73</v>
      </c>
      <c r="B101" s="220">
        <f>worksheet!AM115</f>
        <v>10.374398359105948</v>
      </c>
      <c r="C101" s="220"/>
      <c r="D101"/>
    </row>
    <row r="102" spans="1:4" ht="15.75" customHeight="1">
      <c r="A102" s="141">
        <f>worksheet!AF116</f>
        <v>74</v>
      </c>
      <c r="B102" s="220">
        <f>worksheet!AM116</f>
        <v>10.380101399556947</v>
      </c>
      <c r="C102" s="220"/>
      <c r="D102"/>
    </row>
    <row r="103" spans="1:4" ht="15.75" customHeight="1">
      <c r="A103" s="141">
        <f>worksheet!AF117</f>
        <v>75</v>
      </c>
      <c r="B103" s="220">
        <f>worksheet!AM117</f>
        <v>10.385716836058887</v>
      </c>
      <c r="C103" s="220"/>
      <c r="D103"/>
    </row>
    <row r="104" spans="1:4" ht="15.75" customHeight="1">
      <c r="A104" s="141">
        <f>worksheet!AF118</f>
        <v>76</v>
      </c>
      <c r="B104" s="220">
        <f>worksheet!AM118</f>
        <v>10.391246014452296</v>
      </c>
      <c r="C104" s="220"/>
      <c r="D104"/>
    </row>
    <row r="105" spans="1:4" ht="15.75" customHeight="1">
      <c r="A105" s="141">
        <f>worksheet!AF119</f>
        <v>77</v>
      </c>
      <c r="B105" s="220">
        <f>worksheet!AM119</f>
        <v>10.396690259860232</v>
      </c>
      <c r="C105" s="220"/>
      <c r="D105"/>
    </row>
    <row r="106" spans="1:4" ht="15.75" customHeight="1">
      <c r="A106" s="141">
        <f>worksheet!AF120</f>
        <v>78</v>
      </c>
      <c r="B106" s="220">
        <f>worksheet!AM120</f>
        <v>10.4020508770178</v>
      </c>
      <c r="C106" s="220"/>
      <c r="D106"/>
    </row>
    <row r="107" spans="1:4" ht="15.75" customHeight="1">
      <c r="A107" s="141">
        <f>worksheet!AF121</f>
        <v>79</v>
      </c>
      <c r="B107" s="220">
        <f>worksheet!AM121</f>
        <v>10.407329150593746</v>
      </c>
      <c r="C107" s="220"/>
      <c r="D107"/>
    </row>
    <row r="108" spans="1:4" ht="15.75" customHeight="1">
      <c r="A108" s="141">
        <f>worksheet!AF122</f>
        <v>80</v>
      </c>
      <c r="B108" s="220">
        <f>worksheet!AM122</f>
        <v>10.412526345504956</v>
      </c>
      <c r="C108" s="220"/>
      <c r="D108"/>
    </row>
    <row r="109" spans="1:4" ht="15.75" customHeight="1">
      <c r="A109" s="141">
        <f>worksheet!AF123</f>
        <v>81</v>
      </c>
      <c r="B109" s="220">
        <f>worksheet!AM123</f>
        <v>10.41764370722453</v>
      </c>
      <c r="C109" s="220"/>
      <c r="D109"/>
    </row>
    <row r="110" spans="1:4" ht="15.75" customHeight="1">
      <c r="A110" s="141">
        <f>worksheet!AF124</f>
        <v>82</v>
      </c>
      <c r="B110" s="220">
        <f>worksheet!AM124</f>
        <v>10.422682462083937</v>
      </c>
      <c r="C110" s="220"/>
      <c r="D110"/>
    </row>
    <row r="111" spans="1:4" ht="15.75" customHeight="1">
      <c r="A111" s="141">
        <f>worksheet!AF125</f>
        <v>83</v>
      </c>
      <c r="B111" s="220">
        <f>worksheet!AM125</f>
        <v>10.427643817569635</v>
      </c>
      <c r="C111" s="220"/>
      <c r="D111"/>
    </row>
    <row r="112" spans="1:4" ht="15.75" customHeight="1">
      <c r="A112" s="141">
        <f>worksheet!AF126</f>
        <v>84</v>
      </c>
      <c r="B112" s="220">
        <f>worksheet!AM126</f>
        <v>10.432528962614473</v>
      </c>
      <c r="C112" s="220"/>
      <c r="D112"/>
    </row>
    <row r="113" spans="1:4" ht="15.75" customHeight="1">
      <c r="A113" s="141">
        <f>worksheet!AF127</f>
        <v>85</v>
      </c>
      <c r="B113" s="220">
        <f>worksheet!AM127</f>
        <v>10.437339067884139</v>
      </c>
      <c r="C113" s="220"/>
      <c r="D113"/>
    </row>
    <row r="114" spans="1:4" ht="15.75" customHeight="1">
      <c r="A114" s="141">
        <f>worksheet!AF128</f>
        <v>86</v>
      </c>
      <c r="B114" s="220">
        <f>worksheet!AM128</f>
        <v>10.442075286058822</v>
      </c>
      <c r="C114" s="220"/>
      <c r="D114"/>
    </row>
    <row r="115" spans="1:4" ht="15.75" customHeight="1">
      <c r="A115" s="141">
        <f>worksheet!AF129</f>
        <v>87</v>
      </c>
      <c r="B115" s="220">
        <f>worksheet!AM129</f>
        <v>10.446738752110285</v>
      </c>
      <c r="C115" s="220"/>
      <c r="D115"/>
    </row>
    <row r="116" spans="1:4" ht="15.75" customHeight="1">
      <c r="A116" s="141">
        <f>worksheet!AF130</f>
        <v>88</v>
      </c>
      <c r="B116" s="220">
        <f>worksheet!AM130</f>
        <v>10.451330583574476</v>
      </c>
      <c r="C116" s="220"/>
      <c r="D116"/>
    </row>
    <row r="117" spans="1:4" ht="15.75" customHeight="1">
      <c r="A117" s="141">
        <f>worksheet!AF131</f>
        <v>89</v>
      </c>
      <c r="B117" s="220">
        <f>worksheet!AM131</f>
        <v>10.4558518808198</v>
      </c>
      <c r="C117" s="220"/>
      <c r="D117"/>
    </row>
    <row r="118" spans="1:4" ht="15.75" customHeight="1">
      <c r="A118" s="141">
        <f>worksheet!AF132</f>
        <v>90</v>
      </c>
      <c r="B118" s="220">
        <f>worksheet!AM132</f>
        <v>10.460303727311157</v>
      </c>
      <c r="C118" s="220"/>
      <c r="D118"/>
    </row>
    <row r="119" spans="1:4" ht="15.75" customHeight="1">
      <c r="A119" s="141">
        <f>worksheet!AF133</f>
        <v>91</v>
      </c>
      <c r="B119" s="220">
        <f>worksheet!AM133</f>
        <v>10.464687189869837</v>
      </c>
      <c r="C119" s="220"/>
      <c r="D119"/>
    </row>
    <row r="120" spans="1:4" ht="15.75" customHeight="1">
      <c r="A120" s="141">
        <f>worksheet!AF134</f>
        <v>92</v>
      </c>
      <c r="B120" s="220">
        <f>worksheet!AM134</f>
        <v>10.469003318929365</v>
      </c>
      <c r="C120" s="220"/>
      <c r="D120"/>
    </row>
    <row r="121" spans="1:4" ht="15.75" customHeight="1">
      <c r="A121" s="141">
        <f>worksheet!AF135</f>
        <v>93</v>
      </c>
      <c r="B121" s="220">
        <f>worksheet!AM135</f>
        <v>10.47325314878737</v>
      </c>
      <c r="C121" s="220"/>
      <c r="D121"/>
    </row>
    <row r="122" spans="1:4" ht="15.75" customHeight="1">
      <c r="A122" s="141">
        <f>worksheet!AF136</f>
        <v>94</v>
      </c>
      <c r="B122" s="220">
        <f>worksheet!AM136</f>
        <v>10.477437697853537</v>
      </c>
      <c r="C122" s="220"/>
      <c r="D122"/>
    </row>
    <row r="123" spans="1:4" ht="15.75" customHeight="1">
      <c r="A123" s="141">
        <f>worksheet!AF137</f>
        <v>95</v>
      </c>
      <c r="B123" s="220">
        <f>worksheet!AM137</f>
        <v>10.481557968893746</v>
      </c>
      <c r="C123" s="220"/>
      <c r="D123"/>
    </row>
    <row r="124" spans="1:4" ht="15.75" customHeight="1">
      <c r="A124" s="141">
        <f>worksheet!AF138</f>
        <v>96</v>
      </c>
      <c r="B124" s="220">
        <f>worksheet!AM138</f>
        <v>10.485614949270426</v>
      </c>
      <c r="C124" s="220"/>
      <c r="D124"/>
    </row>
    <row r="125" spans="1:4" ht="15.75" customHeight="1">
      <c r="A125" s="141">
        <f>worksheet!AF139</f>
        <v>97</v>
      </c>
      <c r="B125" s="220">
        <f>worksheet!AM139</f>
        <v>10.489609611179201</v>
      </c>
      <c r="C125" s="220"/>
      <c r="D125"/>
    </row>
    <row r="126" spans="1:4" ht="15.75" customHeight="1">
      <c r="A126" s="141">
        <f>worksheet!AF140</f>
        <v>98</v>
      </c>
      <c r="B126" s="220">
        <f>worksheet!AM140</f>
        <v>10.493542911881903</v>
      </c>
      <c r="C126" s="220"/>
      <c r="D126"/>
    </row>
    <row r="127" spans="1:4" ht="15.75" customHeight="1">
      <c r="A127" s="141">
        <f>worksheet!AF141</f>
        <v>99</v>
      </c>
      <c r="B127" s="220">
        <f>worksheet!AM141</f>
        <v>10.497415793935986</v>
      </c>
      <c r="C127" s="220"/>
      <c r="D127"/>
    </row>
    <row r="128" spans="1:4" ht="15.75" customHeight="1">
      <c r="A128" s="141">
        <f>worksheet!AF142</f>
        <v>100</v>
      </c>
      <c r="B128" s="220">
        <f>worksheet!AM142</f>
        <v>10.501229185420415</v>
      </c>
      <c r="C128" s="220"/>
      <c r="D128"/>
    </row>
  </sheetData>
  <sheetProtection sheet="1" scenarios="1" formatCells="0" formatColumns="0" formatRows="0"/>
  <mergeCells count="136">
    <mergeCell ref="A1:N1"/>
    <mergeCell ref="A12:G12"/>
    <mergeCell ref="A9:D9"/>
    <mergeCell ref="A5:G5"/>
    <mergeCell ref="I5:N5"/>
    <mergeCell ref="A6:D6"/>
    <mergeCell ref="A7:D7"/>
    <mergeCell ref="A8:D8"/>
    <mergeCell ref="A2:N2"/>
    <mergeCell ref="A3:N3"/>
    <mergeCell ref="I6:N6"/>
    <mergeCell ref="I7:N7"/>
    <mergeCell ref="I10:N10"/>
    <mergeCell ref="I12:N12"/>
    <mergeCell ref="I13:N13"/>
    <mergeCell ref="I14:N14"/>
    <mergeCell ref="I15:N16"/>
    <mergeCell ref="A25:G25"/>
    <mergeCell ref="A23:D23"/>
    <mergeCell ref="A20:G20"/>
    <mergeCell ref="A21:D21"/>
    <mergeCell ref="A22:D22"/>
    <mergeCell ref="A13:D13"/>
    <mergeCell ref="A14:D14"/>
    <mergeCell ref="A15:D15"/>
    <mergeCell ref="A16:D16"/>
    <mergeCell ref="A17:D17"/>
    <mergeCell ref="I17:N17"/>
    <mergeCell ref="I20:N20"/>
    <mergeCell ref="I21:N21"/>
    <mergeCell ref="B29:C29"/>
    <mergeCell ref="B30:C30"/>
    <mergeCell ref="B31:C31"/>
    <mergeCell ref="B32:C32"/>
    <mergeCell ref="B33:C33"/>
    <mergeCell ref="I22:N22"/>
    <mergeCell ref="I23:N23"/>
    <mergeCell ref="B27:C27"/>
    <mergeCell ref="B26:C26"/>
    <mergeCell ref="B28:C28"/>
    <mergeCell ref="B39:C39"/>
    <mergeCell ref="B40:C40"/>
    <mergeCell ref="B41:C41"/>
    <mergeCell ref="B42:C42"/>
    <mergeCell ref="B34:C34"/>
    <mergeCell ref="B35:C35"/>
    <mergeCell ref="B36:C36"/>
    <mergeCell ref="B37:C37"/>
    <mergeCell ref="B38:C38"/>
    <mergeCell ref="B48:C48"/>
    <mergeCell ref="B49:C49"/>
    <mergeCell ref="B50:C50"/>
    <mergeCell ref="B51:C51"/>
    <mergeCell ref="B52:C52"/>
    <mergeCell ref="B43:C43"/>
    <mergeCell ref="B44:C44"/>
    <mergeCell ref="B45:C45"/>
    <mergeCell ref="B46:C46"/>
    <mergeCell ref="B47:C47"/>
    <mergeCell ref="B58:C58"/>
    <mergeCell ref="B59:C59"/>
    <mergeCell ref="B60:C60"/>
    <mergeCell ref="B61:C61"/>
    <mergeCell ref="B62:C62"/>
    <mergeCell ref="B53:C53"/>
    <mergeCell ref="B54:C54"/>
    <mergeCell ref="B55:C55"/>
    <mergeCell ref="B56:C56"/>
    <mergeCell ref="B57:C57"/>
    <mergeCell ref="B68:C68"/>
    <mergeCell ref="B69:C69"/>
    <mergeCell ref="B70:C70"/>
    <mergeCell ref="B71:C71"/>
    <mergeCell ref="B72:C72"/>
    <mergeCell ref="B63:C63"/>
    <mergeCell ref="B64:C64"/>
    <mergeCell ref="B65:C65"/>
    <mergeCell ref="B66:C66"/>
    <mergeCell ref="B67:C67"/>
    <mergeCell ref="B78:C78"/>
    <mergeCell ref="B79:C79"/>
    <mergeCell ref="B80:C80"/>
    <mergeCell ref="B81:C81"/>
    <mergeCell ref="B82:C82"/>
    <mergeCell ref="B73:C73"/>
    <mergeCell ref="B74:C74"/>
    <mergeCell ref="B75:C75"/>
    <mergeCell ref="B76:C76"/>
    <mergeCell ref="B77:C77"/>
    <mergeCell ref="B88:C88"/>
    <mergeCell ref="B89:C89"/>
    <mergeCell ref="B90:C90"/>
    <mergeCell ref="B91:C91"/>
    <mergeCell ref="B92:C92"/>
    <mergeCell ref="B83:C83"/>
    <mergeCell ref="B84:C84"/>
    <mergeCell ref="B85:C85"/>
    <mergeCell ref="B86:C86"/>
    <mergeCell ref="B87:C87"/>
    <mergeCell ref="B105:C105"/>
    <mergeCell ref="B106:C106"/>
    <mergeCell ref="B107:C107"/>
    <mergeCell ref="B98:C98"/>
    <mergeCell ref="B99:C99"/>
    <mergeCell ref="B100:C100"/>
    <mergeCell ref="B101:C101"/>
    <mergeCell ref="B102:C102"/>
    <mergeCell ref="B93:C93"/>
    <mergeCell ref="B94:C94"/>
    <mergeCell ref="B95:C95"/>
    <mergeCell ref="B96:C96"/>
    <mergeCell ref="B97:C97"/>
    <mergeCell ref="B128:C128"/>
    <mergeCell ref="I8:N9"/>
    <mergeCell ref="B123:C123"/>
    <mergeCell ref="B124:C124"/>
    <mergeCell ref="B125:C125"/>
    <mergeCell ref="B126:C126"/>
    <mergeCell ref="B127:C127"/>
    <mergeCell ref="B118:C118"/>
    <mergeCell ref="B119:C119"/>
    <mergeCell ref="B120:C120"/>
    <mergeCell ref="B121:C121"/>
    <mergeCell ref="B122:C122"/>
    <mergeCell ref="B113:C113"/>
    <mergeCell ref="B114:C114"/>
    <mergeCell ref="B115:C115"/>
    <mergeCell ref="B116:C116"/>
    <mergeCell ref="B117:C117"/>
    <mergeCell ref="B108:C108"/>
    <mergeCell ref="B109:C109"/>
    <mergeCell ref="B110:C110"/>
    <mergeCell ref="B111:C111"/>
    <mergeCell ref="B112:C112"/>
    <mergeCell ref="B103:C103"/>
    <mergeCell ref="B104:C104"/>
  </mergeCells>
  <conditionalFormatting sqref="F21">
    <cfRule type="cellIs" dxfId="7" priority="5" stopIfTrue="1" operator="greaterThanOrEqual">
      <formula>6</formula>
    </cfRule>
    <cfRule type="cellIs" dxfId="6" priority="6" stopIfTrue="1" operator="greaterThanOrEqual">
      <formula>4</formula>
    </cfRule>
    <cfRule type="cellIs" dxfId="5" priority="7" stopIfTrue="1" operator="greaterThanOrEqual">
      <formula>2</formula>
    </cfRule>
    <cfRule type="cellIs" dxfId="4" priority="8" operator="greaterThanOrEqual">
      <formula>0</formula>
    </cfRule>
  </conditionalFormatting>
  <conditionalFormatting sqref="F23">
    <cfRule type="cellIs" dxfId="3" priority="1" stopIfTrue="1" operator="greaterThanOrEqual">
      <formula>6</formula>
    </cfRule>
    <cfRule type="cellIs" dxfId="2" priority="2" stopIfTrue="1" operator="greaterThanOrEqual">
      <formula>4</formula>
    </cfRule>
    <cfRule type="cellIs" dxfId="1" priority="3" stopIfTrue="1" operator="greaterThanOrEqual">
      <formula>2</formula>
    </cfRule>
    <cfRule type="cellIs" dxfId="0" priority="4" operator="greaterThanOrEqual">
      <formula>0</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142"/>
  <sheetViews>
    <sheetView workbookViewId="0">
      <pane ySplit="2" topLeftCell="A3" activePane="bottomLeft" state="frozen"/>
      <selection pane="bottomLeft"/>
    </sheetView>
  </sheetViews>
  <sheetFormatPr baseColWidth="10" defaultColWidth="8.83203125" defaultRowHeight="15"/>
  <cols>
    <col min="9" max="9" width="2.5" customWidth="1"/>
    <col min="16" max="16" width="9.1640625" style="123"/>
    <col min="17" max="17" width="10.83203125" style="41" customWidth="1"/>
    <col min="18" max="19" width="9.33203125" style="41" customWidth="1"/>
    <col min="20" max="20" width="8.5" style="41" customWidth="1"/>
    <col min="21" max="21" width="4.5" style="41" customWidth="1"/>
    <col min="22" max="22" width="14" style="41" customWidth="1"/>
    <col min="23" max="23" width="11.6640625" style="41" customWidth="1"/>
    <col min="24" max="24" width="11.5" style="41" customWidth="1"/>
    <col min="25" max="25" width="2.1640625" style="41" customWidth="1"/>
    <col min="26" max="26" width="15.83203125" style="41" customWidth="1"/>
    <col min="27" max="28" width="9.1640625" style="41"/>
    <col min="29" max="29" width="6.6640625" style="41" customWidth="1"/>
    <col min="30" max="30" width="9.1640625" style="41"/>
    <col min="31" max="31" width="30.1640625" style="136" customWidth="1"/>
    <col min="32" max="32" width="10.5" customWidth="1"/>
    <col min="33" max="33" width="9.1640625" customWidth="1"/>
    <col min="34" max="34" width="10.33203125" style="5" customWidth="1"/>
    <col min="35" max="35" width="10.83203125" style="5" customWidth="1"/>
    <col min="36" max="36" width="10.83203125" style="4" customWidth="1"/>
    <col min="37" max="37" width="12.5" customWidth="1"/>
    <col min="38" max="38" width="14.5" customWidth="1"/>
    <col min="40" max="40" width="5" customWidth="1"/>
    <col min="41" max="41" width="23.1640625" customWidth="1"/>
    <col min="44" max="44" width="6.83203125" customWidth="1"/>
    <col min="45" max="45" width="13.6640625" customWidth="1"/>
    <col min="46" max="46" width="7.33203125" customWidth="1"/>
  </cols>
  <sheetData>
    <row r="1" spans="1:47" ht="27.75" customHeight="1">
      <c r="A1" s="124" t="s">
        <v>224</v>
      </c>
    </row>
    <row r="2" spans="1:47" ht="19">
      <c r="A2" s="124" t="s">
        <v>211</v>
      </c>
      <c r="Q2" s="57" t="s">
        <v>212</v>
      </c>
      <c r="R2" s="57"/>
      <c r="S2" s="57"/>
      <c r="T2" s="57"/>
      <c r="U2" s="57"/>
      <c r="V2" s="57"/>
      <c r="W2" s="57"/>
      <c r="X2" s="57"/>
      <c r="Y2" s="57"/>
      <c r="Z2" s="57"/>
      <c r="AA2" s="57"/>
      <c r="AB2" s="57"/>
      <c r="AC2" s="57"/>
      <c r="AD2" s="57"/>
      <c r="AE2" s="127"/>
      <c r="AF2" s="57" t="s">
        <v>215</v>
      </c>
      <c r="AG2" s="57"/>
      <c r="AH2" s="57"/>
      <c r="AI2" s="57"/>
      <c r="AJ2" s="57"/>
      <c r="AK2" s="57"/>
      <c r="AL2" s="57"/>
      <c r="AM2" s="57"/>
      <c r="AN2" s="57"/>
      <c r="AO2" s="57"/>
      <c r="AP2" s="57"/>
      <c r="AQ2" s="57"/>
      <c r="AR2" s="57"/>
      <c r="AS2" s="57"/>
      <c r="AT2" s="57"/>
    </row>
    <row r="3" spans="1:47" ht="15" customHeight="1">
      <c r="Q3" s="42"/>
      <c r="R3" s="42"/>
      <c r="S3" s="42"/>
      <c r="T3" s="42"/>
      <c r="U3" s="42"/>
      <c r="V3" s="42"/>
      <c r="W3" s="42"/>
      <c r="X3" s="42"/>
      <c r="Y3" s="42"/>
      <c r="Z3" s="42"/>
      <c r="AA3" s="42"/>
      <c r="AB3" s="42"/>
      <c r="AC3" s="42"/>
      <c r="AD3" s="42"/>
      <c r="AE3" s="128"/>
      <c r="AF3" s="137"/>
      <c r="AG3" s="137"/>
      <c r="AH3" s="137"/>
      <c r="AI3" s="137"/>
      <c r="AJ3" s="137"/>
      <c r="AK3" s="137"/>
      <c r="AL3" s="137"/>
      <c r="AM3" s="137"/>
      <c r="AN3" s="137"/>
      <c r="AO3" s="137"/>
      <c r="AP3" s="137"/>
      <c r="AQ3" s="137"/>
      <c r="AR3" s="137"/>
      <c r="AS3" s="137"/>
      <c r="AT3" s="137"/>
    </row>
    <row r="4" spans="1:47" ht="15.75" customHeight="1">
      <c r="A4" s="188" t="s">
        <v>16</v>
      </c>
      <c r="B4" s="188"/>
      <c r="C4" s="188"/>
      <c r="D4" s="188"/>
      <c r="E4" s="188"/>
      <c r="F4" s="188"/>
      <c r="G4" s="188"/>
      <c r="H4" s="188"/>
      <c r="I4" s="6"/>
      <c r="J4" s="187" t="s">
        <v>208</v>
      </c>
      <c r="K4" s="187"/>
      <c r="L4" s="187"/>
      <c r="M4" s="187"/>
      <c r="N4" s="187"/>
      <c r="O4" s="187"/>
      <c r="Q4" s="188" t="s">
        <v>16</v>
      </c>
      <c r="R4" s="188"/>
      <c r="S4" s="188"/>
      <c r="T4" s="188"/>
      <c r="U4" s="188"/>
      <c r="V4" s="188"/>
      <c r="W4" s="188"/>
      <c r="X4" s="188"/>
      <c r="Y4" s="6"/>
      <c r="Z4" s="187" t="s">
        <v>51</v>
      </c>
      <c r="AA4" s="187"/>
      <c r="AB4" s="187"/>
      <c r="AC4" s="187"/>
      <c r="AD4" s="187"/>
      <c r="AE4" s="187"/>
      <c r="AF4" s="188" t="s">
        <v>16</v>
      </c>
      <c r="AG4" s="188"/>
      <c r="AH4" s="188"/>
      <c r="AI4" s="188"/>
      <c r="AJ4" s="188"/>
      <c r="AK4" s="188"/>
      <c r="AL4" s="188"/>
      <c r="AM4" s="188"/>
      <c r="AN4" s="6"/>
      <c r="AO4" s="187" t="s">
        <v>51</v>
      </c>
      <c r="AP4" s="187"/>
      <c r="AQ4" s="187"/>
      <c r="AR4" s="187"/>
      <c r="AS4" s="187"/>
      <c r="AT4" s="187"/>
    </row>
    <row r="5" spans="1:47" ht="15.75" customHeight="1">
      <c r="A5" s="171" t="s">
        <v>18</v>
      </c>
      <c r="B5" s="171"/>
      <c r="C5" s="171"/>
      <c r="D5" s="171"/>
      <c r="E5" s="171"/>
      <c r="F5" s="11" t="s">
        <v>55</v>
      </c>
      <c r="G5" s="151">
        <f>1000*'1. Dilution flows'!G6/(60*60*24)</f>
        <v>0.46296296296296297</v>
      </c>
      <c r="H5" s="108" t="s">
        <v>4</v>
      </c>
      <c r="I5" s="7"/>
      <c r="J5" s="7" t="s">
        <v>209</v>
      </c>
      <c r="K5" s="20"/>
      <c r="L5" s="20"/>
      <c r="M5" s="82"/>
      <c r="N5" s="83"/>
      <c r="O5" s="20"/>
      <c r="Q5" s="215" t="s">
        <v>105</v>
      </c>
      <c r="R5" s="215"/>
      <c r="S5" s="215"/>
      <c r="T5" s="215"/>
      <c r="U5" s="215"/>
      <c r="V5" s="11" t="s">
        <v>100</v>
      </c>
      <c r="W5" s="151">
        <f>'2. Flow over structures'!G6*1000/(24*60*60)</f>
        <v>5.7870370370370372</v>
      </c>
      <c r="X5" s="108" t="s">
        <v>4</v>
      </c>
      <c r="Y5" s="7"/>
      <c r="Z5" s="7" t="s">
        <v>209</v>
      </c>
      <c r="AA5" s="20"/>
      <c r="AB5" s="20"/>
      <c r="AC5" s="82"/>
      <c r="AD5" s="125"/>
      <c r="AE5" s="129"/>
      <c r="AF5" s="171" t="s">
        <v>18</v>
      </c>
      <c r="AG5" s="171"/>
      <c r="AH5" s="171"/>
      <c r="AI5" s="171"/>
      <c r="AJ5" s="171"/>
      <c r="AK5" s="11" t="s">
        <v>55</v>
      </c>
      <c r="AL5" s="151">
        <f>'3. Lake wind reaeration'!F6*1000/(24*60*60)</f>
        <v>0.46296296296296297</v>
      </c>
      <c r="AM5" s="108" t="s">
        <v>4</v>
      </c>
      <c r="AN5" s="7"/>
      <c r="AO5" s="7" t="s">
        <v>209</v>
      </c>
      <c r="AP5" s="20"/>
      <c r="AQ5" s="20"/>
      <c r="AR5" s="82"/>
      <c r="AS5" s="125"/>
      <c r="AT5" s="20"/>
    </row>
    <row r="6" spans="1:47" ht="15.75" customHeight="1">
      <c r="A6" s="171" t="s">
        <v>59</v>
      </c>
      <c r="B6" s="171"/>
      <c r="C6" s="171"/>
      <c r="D6" s="171"/>
      <c r="E6" s="171"/>
      <c r="F6" s="11" t="s">
        <v>56</v>
      </c>
      <c r="G6" s="151">
        <f>'1. Dilution flows'!G7</f>
        <v>0</v>
      </c>
      <c r="H6" s="108" t="s">
        <v>29</v>
      </c>
      <c r="I6" s="7"/>
      <c r="J6" s="7" t="s">
        <v>232</v>
      </c>
      <c r="K6" s="20"/>
      <c r="L6" s="20"/>
      <c r="M6" s="20"/>
      <c r="N6" s="20"/>
      <c r="O6" s="20"/>
      <c r="Q6" s="171" t="s">
        <v>106</v>
      </c>
      <c r="R6" s="171"/>
      <c r="S6" s="171"/>
      <c r="T6" s="171"/>
      <c r="U6" s="171"/>
      <c r="V6" s="11" t="s">
        <v>101</v>
      </c>
      <c r="W6" s="151">
        <f>'2. Flow over structures'!G7</f>
        <v>1</v>
      </c>
      <c r="X6" s="108" t="s">
        <v>29</v>
      </c>
      <c r="Y6" s="7"/>
      <c r="Z6" s="7" t="s">
        <v>232</v>
      </c>
      <c r="AA6" s="7"/>
      <c r="AB6" s="7"/>
      <c r="AC6" s="7"/>
      <c r="AD6" s="7"/>
      <c r="AE6" s="130"/>
      <c r="AF6" s="171" t="s">
        <v>59</v>
      </c>
      <c r="AG6" s="171"/>
      <c r="AH6" s="171"/>
      <c r="AI6" s="171"/>
      <c r="AJ6" s="171"/>
      <c r="AK6" s="11" t="s">
        <v>56</v>
      </c>
      <c r="AL6" s="151">
        <f>'3. Lake wind reaeration'!F7</f>
        <v>0</v>
      </c>
      <c r="AM6" s="108" t="s">
        <v>29</v>
      </c>
      <c r="AN6" s="7"/>
      <c r="AO6" s="7" t="s">
        <v>232</v>
      </c>
      <c r="AP6" s="7"/>
      <c r="AQ6" s="7"/>
      <c r="AR6" s="7"/>
      <c r="AS6" s="7"/>
      <c r="AT6" s="7"/>
    </row>
    <row r="7" spans="1:47" ht="15.75" customHeight="1">
      <c r="A7" s="171" t="s">
        <v>60</v>
      </c>
      <c r="B7" s="171"/>
      <c r="C7" s="171"/>
      <c r="D7" s="171"/>
      <c r="E7" s="171"/>
      <c r="F7" s="11" t="s">
        <v>57</v>
      </c>
      <c r="G7" s="151">
        <f>'1. Dilution flows'!G8</f>
        <v>30</v>
      </c>
      <c r="H7" s="108" t="s">
        <v>29</v>
      </c>
      <c r="I7" s="7"/>
      <c r="J7" s="7" t="s">
        <v>232</v>
      </c>
      <c r="K7" s="20"/>
      <c r="L7" s="20"/>
      <c r="M7" s="20"/>
      <c r="N7" s="20"/>
      <c r="O7" s="20"/>
      <c r="Q7" s="171" t="s">
        <v>107</v>
      </c>
      <c r="R7" s="171"/>
      <c r="S7" s="171"/>
      <c r="T7" s="171"/>
      <c r="U7" s="171"/>
      <c r="V7" s="11" t="s">
        <v>102</v>
      </c>
      <c r="W7" s="151">
        <f>'2. Flow over structures'!G8</f>
        <v>0</v>
      </c>
      <c r="X7" s="108" t="s">
        <v>29</v>
      </c>
      <c r="Y7" s="7"/>
      <c r="Z7" s="7" t="s">
        <v>232</v>
      </c>
      <c r="AA7" s="7"/>
      <c r="AB7" s="7"/>
      <c r="AC7" s="7"/>
      <c r="AD7" s="7"/>
      <c r="AE7" s="130"/>
      <c r="AF7" s="171" t="s">
        <v>60</v>
      </c>
      <c r="AG7" s="171"/>
      <c r="AH7" s="171"/>
      <c r="AI7" s="171"/>
      <c r="AJ7" s="171"/>
      <c r="AK7" s="11" t="s">
        <v>57</v>
      </c>
      <c r="AL7" s="151">
        <f>'3. Lake wind reaeration'!F8</f>
        <v>30</v>
      </c>
      <c r="AM7" s="108" t="s">
        <v>29</v>
      </c>
      <c r="AN7" s="7"/>
      <c r="AO7" s="7" t="s">
        <v>232</v>
      </c>
      <c r="AP7" s="7"/>
      <c r="AQ7" s="7"/>
      <c r="AR7" s="7"/>
      <c r="AS7" s="7"/>
      <c r="AT7" s="7"/>
    </row>
    <row r="8" spans="1:47" ht="15.75" customHeight="1">
      <c r="A8" s="171" t="s">
        <v>25</v>
      </c>
      <c r="B8" s="171"/>
      <c r="C8" s="171"/>
      <c r="D8" s="171"/>
      <c r="E8" s="171"/>
      <c r="F8" s="11" t="s">
        <v>58</v>
      </c>
      <c r="G8" s="151">
        <f>'1. Dilution flows'!G9</f>
        <v>12</v>
      </c>
      <c r="H8" s="27" t="s">
        <v>7</v>
      </c>
      <c r="I8" s="7"/>
      <c r="J8" s="7" t="s">
        <v>232</v>
      </c>
      <c r="K8" s="20"/>
      <c r="L8" s="20"/>
      <c r="M8" s="20"/>
      <c r="N8" s="20"/>
      <c r="O8" s="20"/>
      <c r="Q8" s="171" t="s">
        <v>104</v>
      </c>
      <c r="R8" s="171"/>
      <c r="S8" s="171"/>
      <c r="T8" s="171"/>
      <c r="U8" s="171"/>
      <c r="V8" s="11" t="s">
        <v>103</v>
      </c>
      <c r="W8" s="151">
        <f>'2. Flow over structures'!G9</f>
        <v>27</v>
      </c>
      <c r="X8" s="27" t="s">
        <v>7</v>
      </c>
      <c r="Y8" s="7"/>
      <c r="Z8" s="7" t="s">
        <v>232</v>
      </c>
      <c r="AA8" s="7"/>
      <c r="AB8" s="7"/>
      <c r="AC8" s="7"/>
      <c r="AD8" s="7"/>
      <c r="AE8" s="130"/>
      <c r="AF8" s="171" t="s">
        <v>25</v>
      </c>
      <c r="AG8" s="171"/>
      <c r="AH8" s="171"/>
      <c r="AI8" s="171"/>
      <c r="AJ8" s="171"/>
      <c r="AK8" s="11" t="s">
        <v>58</v>
      </c>
      <c r="AL8" s="151">
        <f>'3. Lake wind reaeration'!F9</f>
        <v>12</v>
      </c>
      <c r="AM8" s="27" t="s">
        <v>7</v>
      </c>
      <c r="AN8" s="7"/>
      <c r="AO8" s="7" t="s">
        <v>232</v>
      </c>
      <c r="AP8" s="7"/>
      <c r="AQ8" s="7"/>
      <c r="AR8" s="7"/>
      <c r="AS8" s="7"/>
      <c r="AT8" s="7"/>
    </row>
    <row r="9" spans="1:47" ht="15.75" customHeight="1">
      <c r="A9" s="20"/>
      <c r="B9" s="20"/>
      <c r="C9" s="20"/>
      <c r="D9" s="20"/>
      <c r="E9" s="20"/>
      <c r="F9" s="21"/>
      <c r="G9" s="22"/>
      <c r="H9" s="28"/>
      <c r="I9" s="20"/>
      <c r="J9" s="20"/>
      <c r="K9" s="20"/>
      <c r="L9" s="20"/>
      <c r="M9" s="20"/>
      <c r="N9" s="20"/>
      <c r="O9" s="20"/>
      <c r="Q9" s="43"/>
      <c r="R9" s="43"/>
      <c r="S9" s="43"/>
      <c r="T9" s="43"/>
      <c r="U9" s="43"/>
      <c r="V9" s="42"/>
      <c r="W9" s="42"/>
      <c r="X9" s="42"/>
      <c r="Y9" s="42"/>
      <c r="Z9" s="42"/>
      <c r="AA9" s="42"/>
      <c r="AB9" s="42"/>
      <c r="AC9" s="42"/>
      <c r="AD9" s="42"/>
      <c r="AE9" s="128"/>
      <c r="AF9" s="108" t="s">
        <v>171</v>
      </c>
      <c r="AG9" s="108"/>
      <c r="AH9" s="108"/>
      <c r="AI9" s="108"/>
      <c r="AJ9" s="108"/>
      <c r="AK9" s="11" t="s">
        <v>172</v>
      </c>
      <c r="AL9" s="152">
        <f>'3. Lake wind reaeration'!F10</f>
        <v>15</v>
      </c>
      <c r="AM9" s="27" t="s">
        <v>10</v>
      </c>
      <c r="AN9" s="7"/>
      <c r="AO9" s="7" t="s">
        <v>232</v>
      </c>
      <c r="AP9" s="7"/>
      <c r="AQ9" s="7"/>
      <c r="AR9" s="7"/>
      <c r="AS9" s="7"/>
      <c r="AT9" s="7"/>
    </row>
    <row r="10" spans="1:47" ht="15.75" customHeight="1">
      <c r="A10" s="183" t="s">
        <v>45</v>
      </c>
      <c r="B10" s="183"/>
      <c r="C10" s="183"/>
      <c r="D10" s="183"/>
      <c r="E10" s="183"/>
      <c r="F10" s="183"/>
      <c r="G10" s="183"/>
      <c r="H10" s="183"/>
      <c r="I10" s="7"/>
      <c r="J10" s="7"/>
      <c r="K10" s="20"/>
      <c r="L10" s="20"/>
      <c r="M10" s="20"/>
      <c r="N10" s="20"/>
      <c r="O10" s="20"/>
      <c r="Q10" s="189" t="s">
        <v>95</v>
      </c>
      <c r="R10" s="189"/>
      <c r="S10" s="189"/>
      <c r="T10" s="189"/>
      <c r="U10" s="189"/>
      <c r="V10" s="189"/>
      <c r="W10" s="189"/>
      <c r="X10" s="189"/>
      <c r="Y10" s="48"/>
      <c r="Z10" s="48"/>
      <c r="AA10" s="48"/>
      <c r="AB10" s="48"/>
      <c r="AC10" s="42"/>
      <c r="AD10" s="42"/>
      <c r="AE10" s="128"/>
      <c r="AF10" s="74"/>
      <c r="AG10" s="74"/>
      <c r="AH10" s="74"/>
      <c r="AI10" s="74"/>
      <c r="AJ10" s="74"/>
      <c r="AK10" s="74"/>
      <c r="AL10" s="74"/>
      <c r="AM10" s="74"/>
      <c r="AN10" s="74"/>
      <c r="AO10" s="74"/>
      <c r="AP10" s="74"/>
      <c r="AQ10" s="74"/>
      <c r="AR10" s="74"/>
      <c r="AS10" s="74"/>
      <c r="AT10" s="74"/>
    </row>
    <row r="11" spans="1:47" ht="15.75" customHeight="1">
      <c r="A11" s="172" t="s">
        <v>17</v>
      </c>
      <c r="B11" s="172"/>
      <c r="C11" s="172"/>
      <c r="D11" s="172"/>
      <c r="E11" s="172"/>
      <c r="F11" s="34" t="s">
        <v>61</v>
      </c>
      <c r="G11" s="151">
        <f>'1. Dilution flows'!G12*1000/(24*60*60)</f>
        <v>0</v>
      </c>
      <c r="H11" s="109" t="s">
        <v>4</v>
      </c>
      <c r="I11" s="7"/>
      <c r="J11" s="7" t="s">
        <v>209</v>
      </c>
      <c r="K11" s="20"/>
      <c r="L11" s="20"/>
      <c r="M11" s="82"/>
      <c r="N11" s="121"/>
      <c r="O11" s="20"/>
      <c r="Q11" s="216" t="s">
        <v>135</v>
      </c>
      <c r="R11" s="216"/>
      <c r="S11" s="216"/>
      <c r="T11" s="216"/>
      <c r="U11" s="216"/>
      <c r="V11" s="50" t="s">
        <v>114</v>
      </c>
      <c r="W11" s="163">
        <f>'2. Flow over structures'!G12</f>
        <v>3</v>
      </c>
      <c r="X11" s="118" t="s">
        <v>5</v>
      </c>
      <c r="Y11" s="42"/>
      <c r="Z11" s="7" t="s">
        <v>232</v>
      </c>
      <c r="AA11" s="42"/>
      <c r="AB11" s="42"/>
      <c r="AC11" s="42"/>
      <c r="AD11" s="42"/>
      <c r="AE11" s="128"/>
      <c r="AF11" s="183" t="s">
        <v>140</v>
      </c>
      <c r="AG11" s="183"/>
      <c r="AH11" s="183"/>
      <c r="AI11" s="183"/>
      <c r="AJ11" s="183"/>
      <c r="AK11" s="183"/>
      <c r="AL11" s="183"/>
      <c r="AM11" s="183"/>
      <c r="AN11" s="74"/>
      <c r="AO11" s="74"/>
      <c r="AP11" s="74"/>
      <c r="AQ11" s="74"/>
      <c r="AR11" s="74"/>
      <c r="AS11" s="74"/>
      <c r="AT11" s="74"/>
    </row>
    <row r="12" spans="1:47" ht="15.75" customHeight="1">
      <c r="A12" s="172" t="s">
        <v>15</v>
      </c>
      <c r="B12" s="172"/>
      <c r="C12" s="172"/>
      <c r="D12" s="172"/>
      <c r="E12" s="172"/>
      <c r="F12" s="33" t="s">
        <v>62</v>
      </c>
      <c r="G12" s="151">
        <f>'1. Dilution flows'!G13</f>
        <v>1</v>
      </c>
      <c r="H12" s="35" t="s">
        <v>29</v>
      </c>
      <c r="I12" s="7"/>
      <c r="J12" s="7" t="s">
        <v>232</v>
      </c>
      <c r="K12" s="7"/>
      <c r="L12" s="7"/>
      <c r="M12" s="7"/>
      <c r="N12" s="7"/>
      <c r="O12" s="7"/>
      <c r="Q12" s="216" t="s">
        <v>32</v>
      </c>
      <c r="R12" s="216"/>
      <c r="S12" s="216"/>
      <c r="T12" s="216"/>
      <c r="U12" s="216"/>
      <c r="V12" s="50" t="s">
        <v>96</v>
      </c>
      <c r="W12" s="164">
        <f>'2. Flow over structures'!G13</f>
        <v>1.8</v>
      </c>
      <c r="X12" s="118" t="s">
        <v>30</v>
      </c>
      <c r="Y12" s="42"/>
      <c r="Z12" s="7" t="s">
        <v>232</v>
      </c>
      <c r="AA12" s="42"/>
      <c r="AB12" s="42"/>
      <c r="AC12" s="42"/>
      <c r="AD12" s="42"/>
      <c r="AE12" s="128"/>
      <c r="AF12" s="223" t="s">
        <v>141</v>
      </c>
      <c r="AG12" s="223"/>
      <c r="AH12" s="223"/>
      <c r="AI12" s="223"/>
      <c r="AJ12" s="223"/>
      <c r="AK12" s="76" t="s">
        <v>143</v>
      </c>
      <c r="AL12" s="152">
        <f>'3. Lake wind reaeration'!F13*1000*1000</f>
        <v>3000000</v>
      </c>
      <c r="AM12" s="119" t="s">
        <v>142</v>
      </c>
      <c r="AN12" s="74"/>
      <c r="AO12" s="7" t="s">
        <v>217</v>
      </c>
      <c r="AP12" s="20"/>
      <c r="AQ12" s="20"/>
      <c r="AR12" s="82"/>
      <c r="AS12" s="138"/>
      <c r="AT12" s="20"/>
      <c r="AU12" s="79"/>
    </row>
    <row r="13" spans="1:47" ht="15.75" customHeight="1">
      <c r="A13" s="173" t="s">
        <v>19</v>
      </c>
      <c r="B13" s="173"/>
      <c r="C13" s="173"/>
      <c r="D13" s="173"/>
      <c r="E13" s="173"/>
      <c r="F13" s="33" t="s">
        <v>63</v>
      </c>
      <c r="G13" s="151">
        <f>'1. Dilution flows'!G14</f>
        <v>0</v>
      </c>
      <c r="H13" s="35" t="s">
        <v>29</v>
      </c>
      <c r="I13" s="7"/>
      <c r="J13" s="7" t="s">
        <v>232</v>
      </c>
      <c r="K13" s="7"/>
      <c r="L13" s="7"/>
      <c r="M13" s="7"/>
      <c r="N13" s="7"/>
      <c r="O13" s="7"/>
      <c r="Q13" s="216" t="s">
        <v>136</v>
      </c>
      <c r="R13" s="216"/>
      <c r="S13" s="216"/>
      <c r="T13" s="216"/>
      <c r="U13" s="216"/>
      <c r="V13" s="50" t="s">
        <v>97</v>
      </c>
      <c r="W13" s="162">
        <f>'2. Flow over structures'!G14</f>
        <v>0.05</v>
      </c>
      <c r="X13" s="118" t="s">
        <v>30</v>
      </c>
      <c r="Y13" s="42"/>
      <c r="Z13" s="7" t="s">
        <v>232</v>
      </c>
      <c r="AA13" s="42"/>
      <c r="AB13" s="42"/>
      <c r="AC13" s="42"/>
      <c r="AD13" s="42"/>
      <c r="AE13" s="128"/>
      <c r="AF13" s="223" t="s">
        <v>144</v>
      </c>
      <c r="AG13" s="223"/>
      <c r="AH13" s="223"/>
      <c r="AI13" s="223"/>
      <c r="AJ13" s="223"/>
      <c r="AK13" s="76" t="s">
        <v>145</v>
      </c>
      <c r="AL13" s="151">
        <f>'3. Lake wind reaeration'!F14</f>
        <v>5</v>
      </c>
      <c r="AM13" s="119" t="s">
        <v>29</v>
      </c>
      <c r="AN13" s="74"/>
      <c r="AO13" s="7" t="s">
        <v>232</v>
      </c>
      <c r="AP13" s="74"/>
      <c r="AQ13" s="74"/>
      <c r="AR13" s="74"/>
      <c r="AS13" s="74"/>
      <c r="AT13" s="74"/>
    </row>
    <row r="14" spans="1:47" ht="15.75" customHeight="1">
      <c r="A14" s="172" t="s">
        <v>26</v>
      </c>
      <c r="B14" s="172"/>
      <c r="C14" s="172"/>
      <c r="D14" s="172"/>
      <c r="E14" s="172"/>
      <c r="F14" s="33" t="s">
        <v>64</v>
      </c>
      <c r="G14" s="151">
        <f>'1. Dilution flows'!G15</f>
        <v>27</v>
      </c>
      <c r="H14" s="35" t="s">
        <v>7</v>
      </c>
      <c r="I14" s="7"/>
      <c r="J14" s="7" t="s">
        <v>232</v>
      </c>
      <c r="K14" s="7"/>
      <c r="L14" s="7"/>
      <c r="M14" s="7"/>
      <c r="N14" s="7"/>
      <c r="O14" s="7"/>
      <c r="Q14" s="60"/>
      <c r="R14" s="60"/>
      <c r="S14" s="60"/>
      <c r="T14" s="60"/>
      <c r="U14" s="60"/>
      <c r="V14" s="61"/>
      <c r="W14" s="60"/>
      <c r="X14" s="60"/>
      <c r="Y14" s="60"/>
      <c r="Z14" s="60"/>
      <c r="AA14" s="60"/>
      <c r="AB14" s="60"/>
      <c r="AC14" s="60"/>
      <c r="AD14" s="60"/>
      <c r="AE14" s="131"/>
      <c r="AF14" s="223" t="s">
        <v>146</v>
      </c>
      <c r="AG14" s="223"/>
      <c r="AH14" s="223"/>
      <c r="AI14" s="223"/>
      <c r="AJ14" s="223"/>
      <c r="AK14" s="76" t="s">
        <v>147</v>
      </c>
      <c r="AL14" s="151">
        <f>'3. Lake wind reaeration'!F15</f>
        <v>2</v>
      </c>
      <c r="AM14" s="119" t="s">
        <v>29</v>
      </c>
      <c r="AN14" s="74"/>
      <c r="AO14" s="7" t="s">
        <v>232</v>
      </c>
      <c r="AP14" s="74"/>
      <c r="AQ14" s="74"/>
      <c r="AR14" s="74"/>
      <c r="AS14" s="74"/>
      <c r="AT14" s="74"/>
    </row>
    <row r="15" spans="1:47" ht="15.75" customHeight="1">
      <c r="A15" s="29"/>
      <c r="B15" s="29"/>
      <c r="C15" s="29"/>
      <c r="D15" s="29"/>
      <c r="E15" s="29"/>
      <c r="F15" s="29"/>
      <c r="G15" s="29"/>
      <c r="H15" s="29"/>
      <c r="I15" s="6"/>
      <c r="J15" s="6"/>
      <c r="K15" s="6"/>
      <c r="L15" s="6"/>
      <c r="M15" s="6"/>
      <c r="N15" s="6"/>
      <c r="O15" s="6"/>
      <c r="Q15" s="189" t="s">
        <v>46</v>
      </c>
      <c r="R15" s="189"/>
      <c r="S15" s="189"/>
      <c r="T15" s="189"/>
      <c r="U15" s="189"/>
      <c r="V15" s="189"/>
      <c r="W15" s="189"/>
      <c r="X15" s="189"/>
      <c r="Y15" s="42"/>
      <c r="Z15" s="42"/>
      <c r="AA15" s="42"/>
      <c r="AB15" s="42"/>
      <c r="AC15" s="42"/>
      <c r="AD15" s="42"/>
      <c r="AE15" s="131"/>
      <c r="AF15" s="223" t="s">
        <v>148</v>
      </c>
      <c r="AG15" s="223"/>
      <c r="AH15" s="223"/>
      <c r="AI15" s="223"/>
      <c r="AJ15" s="223"/>
      <c r="AK15" s="76" t="s">
        <v>151</v>
      </c>
      <c r="AL15" s="151">
        <f>'3. Lake wind reaeration'!F16</f>
        <v>12</v>
      </c>
      <c r="AM15" s="78" t="s">
        <v>7</v>
      </c>
      <c r="AN15" s="74"/>
      <c r="AO15" s="7" t="s">
        <v>232</v>
      </c>
      <c r="AP15" s="74"/>
      <c r="AQ15" s="74"/>
      <c r="AR15" s="74"/>
      <c r="AS15" s="74"/>
      <c r="AT15" s="74"/>
    </row>
    <row r="16" spans="1:47" ht="15.75" customHeight="1">
      <c r="A16" s="189" t="s">
        <v>46</v>
      </c>
      <c r="B16" s="189"/>
      <c r="C16" s="189"/>
      <c r="D16" s="189"/>
      <c r="E16" s="189"/>
      <c r="F16" s="189"/>
      <c r="G16" s="189"/>
      <c r="H16" s="189"/>
      <c r="I16" s="6"/>
      <c r="J16" s="6"/>
      <c r="K16" s="6"/>
      <c r="L16" s="6"/>
      <c r="M16" s="6"/>
      <c r="N16" s="6"/>
      <c r="O16" s="6"/>
      <c r="Q16" s="198" t="s">
        <v>48</v>
      </c>
      <c r="R16" s="198"/>
      <c r="S16" s="198"/>
      <c r="T16" s="198"/>
      <c r="U16" s="198"/>
      <c r="V16" s="31" t="s">
        <v>24</v>
      </c>
      <c r="W16" s="151">
        <f>'2. Flow over structures'!G17</f>
        <v>2</v>
      </c>
      <c r="X16" s="30" t="s">
        <v>5</v>
      </c>
      <c r="Y16" s="42"/>
      <c r="Z16" s="7" t="s">
        <v>232</v>
      </c>
      <c r="AA16" s="42"/>
      <c r="AB16" s="42"/>
      <c r="AC16" s="42"/>
      <c r="AD16" s="42"/>
      <c r="AE16" s="131"/>
      <c r="AF16" s="223" t="s">
        <v>149</v>
      </c>
      <c r="AG16" s="223"/>
      <c r="AH16" s="223"/>
      <c r="AI16" s="223"/>
      <c r="AJ16" s="223"/>
      <c r="AK16" s="76" t="s">
        <v>24</v>
      </c>
      <c r="AL16" s="151">
        <f>'3. Lake wind reaeration'!F17</f>
        <v>1.5</v>
      </c>
      <c r="AM16" s="78" t="s">
        <v>5</v>
      </c>
      <c r="AN16" s="74"/>
      <c r="AO16" s="7" t="s">
        <v>232</v>
      </c>
      <c r="AP16" s="74"/>
      <c r="AQ16" s="74"/>
      <c r="AR16" s="74"/>
      <c r="AS16" s="74"/>
      <c r="AT16" s="74"/>
    </row>
    <row r="17" spans="1:46" ht="15.75" customHeight="1">
      <c r="A17" s="174" t="s">
        <v>48</v>
      </c>
      <c r="B17" s="174"/>
      <c r="C17" s="174"/>
      <c r="D17" s="174"/>
      <c r="E17" s="174"/>
      <c r="F17" s="31" t="s">
        <v>24</v>
      </c>
      <c r="G17" s="151">
        <f>'1. Dilution flows'!G18</f>
        <v>2</v>
      </c>
      <c r="H17" s="30" t="s">
        <v>5</v>
      </c>
      <c r="I17" s="6"/>
      <c r="J17" s="7" t="s">
        <v>232</v>
      </c>
      <c r="K17" s="6"/>
      <c r="L17" s="6"/>
      <c r="M17" s="6"/>
      <c r="N17" s="6"/>
      <c r="O17" s="6"/>
      <c r="Q17" s="198" t="s">
        <v>49</v>
      </c>
      <c r="R17" s="198"/>
      <c r="S17" s="198"/>
      <c r="T17" s="198"/>
      <c r="U17" s="198"/>
      <c r="V17" s="31" t="s">
        <v>50</v>
      </c>
      <c r="W17" s="152">
        <f>'2. Flow over structures'!G18</f>
        <v>25</v>
      </c>
      <c r="X17" s="30" t="s">
        <v>5</v>
      </c>
      <c r="Y17" s="42"/>
      <c r="Z17" s="7" t="s">
        <v>232</v>
      </c>
      <c r="AA17" s="42"/>
      <c r="AB17" s="42"/>
      <c r="AC17" s="42"/>
      <c r="AD17" s="42"/>
      <c r="AE17" s="128"/>
      <c r="AF17" s="119" t="s">
        <v>153</v>
      </c>
      <c r="AG17" s="119"/>
      <c r="AH17" s="119"/>
      <c r="AI17" s="119"/>
      <c r="AJ17" s="119"/>
      <c r="AK17" s="76" t="s">
        <v>192</v>
      </c>
      <c r="AL17" s="151">
        <f>'3. Lake wind reaeration'!F18</f>
        <v>2.8</v>
      </c>
      <c r="AM17" s="78" t="s">
        <v>6</v>
      </c>
      <c r="AN17" s="74"/>
      <c r="AO17" s="7" t="s">
        <v>232</v>
      </c>
      <c r="AP17" s="20"/>
      <c r="AQ17" s="20"/>
      <c r="AR17" s="82"/>
      <c r="AS17" s="83"/>
      <c r="AT17" s="20"/>
    </row>
    <row r="18" spans="1:46" ht="15.75" customHeight="1">
      <c r="A18" s="174" t="s">
        <v>49</v>
      </c>
      <c r="B18" s="174"/>
      <c r="C18" s="174"/>
      <c r="D18" s="174"/>
      <c r="E18" s="174"/>
      <c r="F18" s="31" t="s">
        <v>50</v>
      </c>
      <c r="G18" s="152">
        <f>'1. Dilution flows'!G19</f>
        <v>25</v>
      </c>
      <c r="H18" s="30" t="s">
        <v>5</v>
      </c>
      <c r="I18" s="6"/>
      <c r="J18" s="7" t="s">
        <v>232</v>
      </c>
      <c r="K18" s="6"/>
      <c r="L18" s="6"/>
      <c r="M18" s="6"/>
      <c r="N18" s="6"/>
      <c r="O18" s="6"/>
      <c r="Q18" s="64"/>
      <c r="R18" s="64"/>
      <c r="S18" s="64"/>
      <c r="T18" s="64"/>
      <c r="U18" s="64"/>
      <c r="V18" s="64"/>
      <c r="W18" s="64"/>
      <c r="X18" s="64"/>
      <c r="Y18" s="64"/>
      <c r="Z18" s="64"/>
      <c r="AA18" s="64"/>
      <c r="AB18" s="64"/>
      <c r="AC18" s="64"/>
      <c r="AD18" s="64"/>
      <c r="AE18" s="128"/>
      <c r="AF18" s="20"/>
      <c r="AG18" s="20"/>
      <c r="AH18" s="20"/>
      <c r="AI18" s="20"/>
      <c r="AJ18" s="20"/>
      <c r="AK18" s="21"/>
      <c r="AL18" s="81"/>
      <c r="AM18" s="28"/>
      <c r="AN18" s="74"/>
      <c r="AO18" s="20"/>
      <c r="AP18" s="20"/>
      <c r="AQ18" s="20"/>
      <c r="AR18" s="82"/>
      <c r="AS18" s="83"/>
      <c r="AT18" s="20"/>
    </row>
    <row r="19" spans="1:46" ht="15.75" customHeight="1">
      <c r="A19" s="12"/>
      <c r="B19" s="8"/>
      <c r="C19" s="8"/>
      <c r="D19" s="8"/>
      <c r="E19" s="8"/>
      <c r="F19" s="13"/>
      <c r="G19" s="8"/>
      <c r="H19" s="8"/>
      <c r="I19" s="8"/>
      <c r="J19" s="8"/>
      <c r="K19" s="8"/>
      <c r="L19" s="8"/>
      <c r="M19" s="8"/>
      <c r="N19" s="8"/>
      <c r="O19" s="8"/>
      <c r="Q19" s="199" t="s">
        <v>123</v>
      </c>
      <c r="R19" s="199"/>
      <c r="S19" s="199"/>
      <c r="T19" s="199"/>
      <c r="U19" s="199"/>
      <c r="V19" s="199"/>
      <c r="W19" s="199"/>
      <c r="X19" s="199"/>
      <c r="Y19" s="64"/>
      <c r="Z19" s="64" t="s">
        <v>130</v>
      </c>
      <c r="AA19" s="64"/>
      <c r="AB19" s="64"/>
      <c r="AC19" s="64"/>
      <c r="AD19" s="64"/>
      <c r="AE19" s="128"/>
      <c r="AF19" s="229" t="s">
        <v>85</v>
      </c>
      <c r="AG19" s="229"/>
      <c r="AH19" s="229"/>
      <c r="AI19" s="229"/>
      <c r="AJ19" s="229"/>
      <c r="AK19" s="229"/>
      <c r="AL19" s="229"/>
      <c r="AM19" s="229"/>
      <c r="AN19" s="74"/>
      <c r="AO19" s="74"/>
      <c r="AP19" s="74"/>
      <c r="AQ19" s="74"/>
      <c r="AR19" s="74"/>
      <c r="AS19" s="74"/>
      <c r="AT19" s="74"/>
    </row>
    <row r="20" spans="1:46" ht="15.75" customHeight="1">
      <c r="A20" s="229" t="s">
        <v>85</v>
      </c>
      <c r="B20" s="229"/>
      <c r="C20" s="229"/>
      <c r="D20" s="229"/>
      <c r="E20" s="229"/>
      <c r="F20" s="229"/>
      <c r="G20" s="229"/>
      <c r="H20" s="229"/>
      <c r="I20" s="6"/>
      <c r="J20" s="6"/>
      <c r="K20" s="6"/>
      <c r="L20" s="6"/>
      <c r="M20" s="6"/>
      <c r="N20" s="6"/>
      <c r="O20" s="8"/>
      <c r="Q20" s="201" t="s">
        <v>124</v>
      </c>
      <c r="R20" s="201"/>
      <c r="S20" s="201"/>
      <c r="T20" s="201"/>
      <c r="U20" s="201"/>
      <c r="V20" s="66"/>
      <c r="W20" s="67"/>
      <c r="X20" s="67"/>
      <c r="Y20" s="64"/>
      <c r="Z20" s="64"/>
      <c r="AA20" s="64"/>
      <c r="AB20" s="64"/>
      <c r="AC20" s="64"/>
      <c r="AD20" s="64"/>
      <c r="AE20" s="128"/>
      <c r="AF20" s="228" t="s">
        <v>9</v>
      </c>
      <c r="AG20" s="228"/>
      <c r="AH20" s="228"/>
      <c r="AI20" s="228"/>
      <c r="AJ20" s="228"/>
      <c r="AK20" s="47" t="s">
        <v>65</v>
      </c>
      <c r="AL20" s="150">
        <v>0.03</v>
      </c>
      <c r="AM20" s="113" t="s">
        <v>13</v>
      </c>
      <c r="AN20" s="74"/>
      <c r="AO20" s="8" t="s">
        <v>229</v>
      </c>
      <c r="AP20" s="74"/>
      <c r="AQ20" s="74"/>
      <c r="AR20" s="74"/>
      <c r="AS20" s="74"/>
      <c r="AT20" s="74"/>
    </row>
    <row r="21" spans="1:46" ht="15.75" customHeight="1">
      <c r="A21" s="228" t="s">
        <v>9</v>
      </c>
      <c r="B21" s="228"/>
      <c r="C21" s="228"/>
      <c r="D21" s="228"/>
      <c r="E21" s="228"/>
      <c r="F21" s="47" t="s">
        <v>65</v>
      </c>
      <c r="G21" s="150">
        <v>0.03</v>
      </c>
      <c r="H21" s="113" t="s">
        <v>13</v>
      </c>
      <c r="I21" s="8"/>
      <c r="J21" s="8" t="s">
        <v>229</v>
      </c>
      <c r="K21" s="8"/>
      <c r="L21" s="8"/>
      <c r="M21" s="8"/>
      <c r="N21" s="8"/>
      <c r="O21" s="8"/>
      <c r="Q21" s="200" t="s">
        <v>236</v>
      </c>
      <c r="R21" s="200"/>
      <c r="S21" s="200"/>
      <c r="T21" s="200"/>
      <c r="U21" s="200"/>
      <c r="V21" s="69" t="s">
        <v>96</v>
      </c>
      <c r="W21" s="149">
        <v>0.65</v>
      </c>
      <c r="X21" s="67" t="s">
        <v>30</v>
      </c>
      <c r="Y21" s="64"/>
      <c r="Z21" s="64"/>
      <c r="AA21" s="64"/>
      <c r="AB21" s="64"/>
      <c r="AC21" s="64"/>
      <c r="AD21" s="64"/>
      <c r="AE21" s="128"/>
      <c r="AF21" s="228" t="s">
        <v>67</v>
      </c>
      <c r="AG21" s="228"/>
      <c r="AH21" s="228"/>
      <c r="AI21" s="228"/>
      <c r="AJ21" s="228"/>
      <c r="AK21" s="47" t="s">
        <v>69</v>
      </c>
      <c r="AL21" s="150">
        <f>AL20*(-0.2088+0.0604*AL28)</f>
        <v>1.5480000000000001E-2</v>
      </c>
      <c r="AM21" s="113" t="s">
        <v>13</v>
      </c>
      <c r="AN21" s="74"/>
      <c r="AO21" s="8" t="s">
        <v>230</v>
      </c>
      <c r="AP21" s="74"/>
      <c r="AQ21" s="74"/>
      <c r="AR21" s="74"/>
      <c r="AS21" s="74"/>
      <c r="AT21" s="74"/>
    </row>
    <row r="22" spans="1:46" ht="15.75" customHeight="1">
      <c r="A22" s="228" t="s">
        <v>67</v>
      </c>
      <c r="B22" s="228"/>
      <c r="C22" s="228"/>
      <c r="D22" s="228"/>
      <c r="E22" s="228"/>
      <c r="F22" s="47" t="s">
        <v>69</v>
      </c>
      <c r="G22" s="150">
        <f>+G21*(-0.2088 + 0.0604*G29)</f>
        <v>1.5480000000000001E-2</v>
      </c>
      <c r="H22" s="113" t="s">
        <v>13</v>
      </c>
      <c r="I22" s="8"/>
      <c r="J22" s="8" t="s">
        <v>230</v>
      </c>
      <c r="K22" s="8"/>
      <c r="L22" s="8"/>
      <c r="M22" s="8"/>
      <c r="N22" s="8"/>
      <c r="O22" s="8"/>
      <c r="Q22" s="200" t="s">
        <v>237</v>
      </c>
      <c r="R22" s="200"/>
      <c r="S22" s="200"/>
      <c r="T22" s="200"/>
      <c r="U22" s="200"/>
      <c r="V22" s="69" t="s">
        <v>96</v>
      </c>
      <c r="W22" s="165">
        <v>1</v>
      </c>
      <c r="X22" s="67" t="s">
        <v>30</v>
      </c>
      <c r="Y22" s="64"/>
      <c r="Z22" s="64"/>
      <c r="AA22" s="64"/>
      <c r="AB22" s="64"/>
      <c r="AC22" s="64"/>
      <c r="AD22" s="64"/>
      <c r="AE22" s="131"/>
      <c r="AF22" s="228" t="s">
        <v>68</v>
      </c>
      <c r="AG22" s="228"/>
      <c r="AH22" s="228"/>
      <c r="AI22" s="228"/>
      <c r="AJ22" s="228"/>
      <c r="AK22" s="47" t="s">
        <v>66</v>
      </c>
      <c r="AL22" s="150">
        <f>(0.0986*AL17^1.64)/AL16</f>
        <v>0.35573355075201918</v>
      </c>
      <c r="AM22" s="113" t="s">
        <v>13</v>
      </c>
      <c r="AO22" s="8" t="s">
        <v>193</v>
      </c>
    </row>
    <row r="23" spans="1:46" ht="15.75" customHeight="1">
      <c r="A23" s="228" t="s">
        <v>68</v>
      </c>
      <c r="B23" s="228"/>
      <c r="C23" s="228"/>
      <c r="D23" s="228"/>
      <c r="E23" s="228"/>
      <c r="F23" s="47" t="s">
        <v>66</v>
      </c>
      <c r="G23" s="150">
        <f>(3.93*G28^0.5/G17^1.5)</f>
        <v>0.13370131512691516</v>
      </c>
      <c r="H23" s="113" t="s">
        <v>13</v>
      </c>
      <c r="I23" s="8"/>
      <c r="J23" s="8" t="s">
        <v>188</v>
      </c>
      <c r="K23" s="8"/>
      <c r="L23" s="8"/>
      <c r="M23" s="8"/>
      <c r="N23" s="8"/>
      <c r="O23" s="8"/>
      <c r="Q23" s="200" t="s">
        <v>238</v>
      </c>
      <c r="R23" s="200"/>
      <c r="S23" s="200"/>
      <c r="T23" s="200"/>
      <c r="U23" s="200"/>
      <c r="V23" s="69" t="s">
        <v>96</v>
      </c>
      <c r="W23" s="165">
        <v>1.6</v>
      </c>
      <c r="X23" s="67" t="s">
        <v>30</v>
      </c>
      <c r="Y23" s="64"/>
      <c r="Z23" s="64"/>
      <c r="AA23" s="64"/>
      <c r="AB23" s="64"/>
      <c r="AC23" s="64"/>
      <c r="AD23" s="64"/>
      <c r="AE23" s="132"/>
      <c r="AF23" s="228" t="s">
        <v>71</v>
      </c>
      <c r="AG23" s="228"/>
      <c r="AH23" s="228"/>
      <c r="AI23" s="228"/>
      <c r="AJ23" s="228"/>
      <c r="AK23" s="47" t="s">
        <v>70</v>
      </c>
      <c r="AL23" s="150">
        <f>+AL22*1.024^(AL28-20)</f>
        <v>0.29425589641671884</v>
      </c>
      <c r="AM23" s="113" t="s">
        <v>13</v>
      </c>
      <c r="AO23" s="8" t="s">
        <v>189</v>
      </c>
    </row>
    <row r="24" spans="1:46" ht="15.75" customHeight="1">
      <c r="A24" s="228" t="s">
        <v>71</v>
      </c>
      <c r="B24" s="228"/>
      <c r="C24" s="228"/>
      <c r="D24" s="228"/>
      <c r="E24" s="228"/>
      <c r="F24" s="47" t="s">
        <v>70</v>
      </c>
      <c r="G24" s="150">
        <f>+G23*1.024^(G29-20)</f>
        <v>0.11059513574582708</v>
      </c>
      <c r="H24" s="113" t="s">
        <v>13</v>
      </c>
      <c r="I24" s="8"/>
      <c r="J24" s="8" t="s">
        <v>189</v>
      </c>
      <c r="K24" s="8"/>
      <c r="L24" s="8"/>
      <c r="M24" s="8"/>
      <c r="N24" s="8"/>
      <c r="O24" s="8"/>
      <c r="Q24" s="200" t="s">
        <v>235</v>
      </c>
      <c r="R24" s="200"/>
      <c r="S24" s="200"/>
      <c r="T24" s="200"/>
      <c r="U24" s="200"/>
      <c r="V24" s="69" t="s">
        <v>96</v>
      </c>
      <c r="W24" s="165">
        <v>1.8</v>
      </c>
      <c r="X24" s="67" t="s">
        <v>30</v>
      </c>
      <c r="Y24" s="64"/>
      <c r="Z24" s="64"/>
      <c r="AA24" s="64"/>
      <c r="AB24" s="64"/>
      <c r="AC24" s="64"/>
      <c r="AD24" s="64"/>
      <c r="AE24" s="132"/>
      <c r="AF24" s="228" t="s">
        <v>23</v>
      </c>
      <c r="AG24" s="228"/>
      <c r="AH24" s="228"/>
      <c r="AI24" s="228"/>
      <c r="AJ24" s="228"/>
      <c r="AK24" s="47" t="s">
        <v>170</v>
      </c>
      <c r="AL24" s="165">
        <v>1</v>
      </c>
      <c r="AM24" s="113" t="s">
        <v>10</v>
      </c>
      <c r="AO24" s="8" t="s">
        <v>173</v>
      </c>
    </row>
    <row r="25" spans="1:46" ht="15.75" customHeight="1">
      <c r="A25" s="228" t="s">
        <v>23</v>
      </c>
      <c r="B25" s="228"/>
      <c r="C25" s="228"/>
      <c r="D25" s="228"/>
      <c r="E25" s="228"/>
      <c r="F25" s="47" t="s">
        <v>155</v>
      </c>
      <c r="G25" s="149">
        <v>0.5</v>
      </c>
      <c r="H25" s="113" t="s">
        <v>10</v>
      </c>
      <c r="I25" s="8"/>
      <c r="J25" s="8"/>
      <c r="K25" s="8"/>
      <c r="L25" s="8"/>
      <c r="M25" s="8"/>
      <c r="N25" s="8"/>
      <c r="O25" s="8"/>
      <c r="Q25" s="200"/>
      <c r="R25" s="200"/>
      <c r="S25" s="200"/>
      <c r="T25" s="200"/>
      <c r="U25" s="200"/>
      <c r="V25" s="69"/>
      <c r="W25" s="116"/>
      <c r="X25" s="67"/>
      <c r="Y25" s="64"/>
      <c r="Z25" s="64"/>
      <c r="AA25" s="64"/>
      <c r="AB25" s="64"/>
      <c r="AC25" s="64"/>
      <c r="AD25" s="64"/>
      <c r="AE25" s="132"/>
      <c r="AF25" s="75"/>
      <c r="AG25" s="74"/>
      <c r="AH25" s="74"/>
      <c r="AI25" s="74"/>
      <c r="AJ25" s="74"/>
      <c r="AK25" s="74"/>
      <c r="AL25" s="74"/>
      <c r="AM25" s="74"/>
      <c r="AN25" s="74"/>
      <c r="AO25" s="74"/>
      <c r="AP25" s="74"/>
      <c r="AQ25" s="74"/>
      <c r="AR25" s="74"/>
      <c r="AS25" s="74"/>
      <c r="AT25" s="74"/>
    </row>
    <row r="26" spans="1:46" ht="15.75" customHeight="1">
      <c r="A26" s="12"/>
      <c r="B26" s="8"/>
      <c r="C26" s="8"/>
      <c r="D26" s="8"/>
      <c r="E26" s="8"/>
      <c r="F26" s="13"/>
      <c r="G26" s="8"/>
      <c r="H26" s="8"/>
      <c r="I26" s="8"/>
      <c r="J26" s="8"/>
      <c r="K26" s="8"/>
      <c r="L26" s="8"/>
      <c r="M26" s="8"/>
      <c r="N26" s="8"/>
      <c r="O26" s="8"/>
      <c r="Q26" s="201" t="s">
        <v>137</v>
      </c>
      <c r="R26" s="201"/>
      <c r="S26" s="201"/>
      <c r="T26" s="201"/>
      <c r="U26" s="201"/>
      <c r="V26" s="66"/>
      <c r="W26" s="116"/>
      <c r="X26" s="67"/>
      <c r="Y26" s="64"/>
      <c r="Z26" s="64"/>
      <c r="AA26" s="64"/>
      <c r="AB26" s="64"/>
      <c r="AC26" s="64"/>
      <c r="AD26" s="64"/>
      <c r="AE26" s="132"/>
      <c r="AF26" s="182" t="s">
        <v>156</v>
      </c>
      <c r="AG26" s="182"/>
      <c r="AH26" s="182"/>
      <c r="AI26" s="182"/>
      <c r="AJ26" s="182"/>
      <c r="AK26" s="182"/>
      <c r="AL26" s="182"/>
      <c r="AM26" s="182"/>
      <c r="AN26" s="74"/>
      <c r="AO26" s="74"/>
      <c r="AP26" s="74"/>
      <c r="AQ26" s="74"/>
      <c r="AR26" s="74"/>
      <c r="AS26" s="74"/>
      <c r="AT26" s="74"/>
    </row>
    <row r="27" spans="1:46" ht="15.75" customHeight="1">
      <c r="A27" s="182" t="s">
        <v>98</v>
      </c>
      <c r="B27" s="182"/>
      <c r="C27" s="182"/>
      <c r="D27" s="182"/>
      <c r="E27" s="182"/>
      <c r="F27" s="182"/>
      <c r="G27" s="182"/>
      <c r="H27" s="182"/>
      <c r="I27" s="8"/>
      <c r="J27" s="8"/>
      <c r="K27" s="8"/>
      <c r="L27" s="8"/>
      <c r="M27" s="8"/>
      <c r="N27" s="8"/>
      <c r="O27" s="8"/>
      <c r="Q27" s="200" t="s">
        <v>33</v>
      </c>
      <c r="R27" s="200"/>
      <c r="S27" s="200"/>
      <c r="T27" s="200"/>
      <c r="U27" s="200"/>
      <c r="V27" s="69" t="s">
        <v>97</v>
      </c>
      <c r="W27" s="149">
        <v>0.7</v>
      </c>
      <c r="X27" s="67" t="s">
        <v>30</v>
      </c>
      <c r="Y27" s="64"/>
      <c r="Z27" s="64"/>
      <c r="AA27" s="64"/>
      <c r="AB27" s="64"/>
      <c r="AC27" s="64"/>
      <c r="AD27" s="64"/>
      <c r="AE27" s="132"/>
      <c r="AF27" s="175" t="s">
        <v>150</v>
      </c>
      <c r="AG27" s="175"/>
      <c r="AH27" s="175"/>
      <c r="AI27" s="175"/>
      <c r="AJ27" s="175"/>
      <c r="AK27" s="18" t="s">
        <v>165</v>
      </c>
      <c r="AL27" s="140">
        <f>(AL13*(AL12-AL5*86400*AL24)+AL6*AL5*86400*AL24)/AL12</f>
        <v>4.9333333333333336</v>
      </c>
      <c r="AM27" s="110" t="s">
        <v>29</v>
      </c>
      <c r="AN27" s="74"/>
      <c r="AO27" s="7" t="s">
        <v>168</v>
      </c>
      <c r="AP27" s="74"/>
      <c r="AQ27" s="74"/>
      <c r="AR27" s="74"/>
      <c r="AS27" s="74"/>
      <c r="AT27" s="74"/>
    </row>
    <row r="28" spans="1:46" ht="15.75" customHeight="1">
      <c r="A28" s="175" t="s">
        <v>22</v>
      </c>
      <c r="B28" s="175"/>
      <c r="C28" s="175"/>
      <c r="D28" s="175"/>
      <c r="E28" s="175"/>
      <c r="F28" s="18" t="s">
        <v>47</v>
      </c>
      <c r="G28" s="147">
        <f>(G5+G11)/(G18*G17)</f>
        <v>9.2592592592592587E-3</v>
      </c>
      <c r="H28" s="110" t="s">
        <v>6</v>
      </c>
      <c r="I28" s="8"/>
      <c r="J28" s="8" t="s">
        <v>115</v>
      </c>
      <c r="K28" s="8"/>
      <c r="L28" s="8"/>
      <c r="M28" s="8"/>
      <c r="N28" s="8"/>
      <c r="O28" s="8"/>
      <c r="Q28" s="200" t="s">
        <v>34</v>
      </c>
      <c r="R28" s="200"/>
      <c r="S28" s="200"/>
      <c r="T28" s="200"/>
      <c r="U28" s="200"/>
      <c r="V28" s="69" t="s">
        <v>97</v>
      </c>
      <c r="W28" s="149">
        <v>0.8</v>
      </c>
      <c r="X28" s="67" t="s">
        <v>30</v>
      </c>
      <c r="Y28" s="64"/>
      <c r="Z28" s="64"/>
      <c r="AA28" s="64"/>
      <c r="AB28" s="64"/>
      <c r="AC28" s="64"/>
      <c r="AD28" s="64"/>
      <c r="AE28" s="132"/>
      <c r="AF28" s="175" t="s">
        <v>90</v>
      </c>
      <c r="AG28" s="175"/>
      <c r="AH28" s="175"/>
      <c r="AI28" s="175"/>
      <c r="AJ28" s="175"/>
      <c r="AK28" s="18" t="s">
        <v>76</v>
      </c>
      <c r="AL28" s="140">
        <f>(AL15*(AL12-AL5*86400*AL24)+AL8*AL5*86400*AL24)/AL12</f>
        <v>12</v>
      </c>
      <c r="AM28" s="110" t="s">
        <v>7</v>
      </c>
      <c r="AN28" s="74"/>
      <c r="AO28" s="7" t="s">
        <v>162</v>
      </c>
      <c r="AP28" s="74"/>
      <c r="AQ28" s="74"/>
      <c r="AR28" s="74"/>
      <c r="AS28" s="74"/>
      <c r="AT28" s="74"/>
    </row>
    <row r="29" spans="1:46" ht="15.75" customHeight="1">
      <c r="A29" s="175" t="s">
        <v>90</v>
      </c>
      <c r="B29" s="175"/>
      <c r="C29" s="175"/>
      <c r="D29" s="175"/>
      <c r="E29" s="175"/>
      <c r="F29" s="18" t="s">
        <v>76</v>
      </c>
      <c r="G29" s="148">
        <f>(G5*G8 + G11*G14)/(G5+G11)</f>
        <v>12</v>
      </c>
      <c r="H29" s="110" t="s">
        <v>7</v>
      </c>
      <c r="I29" s="8"/>
      <c r="J29" s="8" t="s">
        <v>77</v>
      </c>
      <c r="K29" s="8"/>
      <c r="L29" s="8"/>
      <c r="M29" s="8"/>
      <c r="N29" s="8"/>
      <c r="O29" s="8"/>
      <c r="Q29" s="200" t="s">
        <v>35</v>
      </c>
      <c r="R29" s="200"/>
      <c r="S29" s="200"/>
      <c r="T29" s="200"/>
      <c r="U29" s="200"/>
      <c r="V29" s="69" t="s">
        <v>97</v>
      </c>
      <c r="W29" s="149">
        <v>0.6</v>
      </c>
      <c r="X29" s="67" t="s">
        <v>30</v>
      </c>
      <c r="Y29" s="64"/>
      <c r="Z29" s="64"/>
      <c r="AA29" s="64"/>
      <c r="AB29" s="64"/>
      <c r="AC29" s="64"/>
      <c r="AD29" s="64"/>
      <c r="AE29" s="132"/>
      <c r="AF29" s="175" t="s">
        <v>152</v>
      </c>
      <c r="AG29" s="175"/>
      <c r="AH29" s="175"/>
      <c r="AI29" s="175"/>
      <c r="AJ29" s="175"/>
      <c r="AK29" s="18" t="s">
        <v>166</v>
      </c>
      <c r="AL29" s="140">
        <f>(AL14*(AL12-AL5*86400*AL24)+AL7*AL5*86400*AL24)/AL12</f>
        <v>2.3733333333333335</v>
      </c>
      <c r="AM29" s="110" t="s">
        <v>29</v>
      </c>
      <c r="AN29" s="74"/>
      <c r="AO29" s="7" t="s">
        <v>167</v>
      </c>
      <c r="AP29" s="74"/>
      <c r="AQ29" s="74"/>
      <c r="AR29" s="74"/>
      <c r="AS29" s="74"/>
      <c r="AT29" s="74"/>
    </row>
    <row r="30" spans="1:46" ht="15.75" customHeight="1">
      <c r="A30" s="181" t="s">
        <v>14</v>
      </c>
      <c r="B30" s="181"/>
      <c r="C30" s="181"/>
      <c r="D30" s="181"/>
      <c r="E30" s="181"/>
      <c r="F30" s="16" t="s">
        <v>91</v>
      </c>
      <c r="G30" s="147">
        <f>14.652 - (0.41022*G29) + (0.007991*G29^2) - (0.000077774*G29^3)</f>
        <v>10.745670528</v>
      </c>
      <c r="H30" s="9" t="s">
        <v>29</v>
      </c>
      <c r="I30" s="37"/>
      <c r="J30" s="8" t="s">
        <v>187</v>
      </c>
      <c r="K30" s="8"/>
      <c r="L30" s="8"/>
      <c r="M30" s="8"/>
      <c r="N30" s="8"/>
      <c r="O30" s="8"/>
      <c r="Q30" s="200" t="s">
        <v>36</v>
      </c>
      <c r="R30" s="200"/>
      <c r="S30" s="200"/>
      <c r="T30" s="200"/>
      <c r="U30" s="200"/>
      <c r="V30" s="69" t="s">
        <v>97</v>
      </c>
      <c r="W30" s="149">
        <v>0.75</v>
      </c>
      <c r="X30" s="67" t="s">
        <v>30</v>
      </c>
      <c r="Y30" s="64"/>
      <c r="Z30" s="64"/>
      <c r="AA30" s="64"/>
      <c r="AB30" s="64"/>
      <c r="AC30" s="64"/>
      <c r="AD30" s="64"/>
      <c r="AE30" s="132"/>
      <c r="AF30" s="181" t="s">
        <v>14</v>
      </c>
      <c r="AG30" s="181"/>
      <c r="AH30" s="181"/>
      <c r="AI30" s="181"/>
      <c r="AJ30" s="181"/>
      <c r="AK30" s="16" t="s">
        <v>91</v>
      </c>
      <c r="AL30" s="140">
        <f>14.652 - (0.41022*AL28) + (0.007991*AL28^2) - (0.000077774*AL28^3)</f>
        <v>10.745670528</v>
      </c>
      <c r="AM30" s="9" t="s">
        <v>29</v>
      </c>
      <c r="AN30" s="37"/>
      <c r="AO30" s="8" t="s">
        <v>163</v>
      </c>
      <c r="AP30" s="74"/>
      <c r="AQ30" s="74"/>
      <c r="AR30" s="74"/>
      <c r="AS30" s="74"/>
      <c r="AT30" s="74"/>
    </row>
    <row r="31" spans="1:46" ht="15.75" customHeight="1">
      <c r="A31" s="181" t="s">
        <v>72</v>
      </c>
      <c r="B31" s="181"/>
      <c r="C31" s="181"/>
      <c r="D31" s="181"/>
      <c r="E31" s="181"/>
      <c r="F31" s="16" t="s">
        <v>177</v>
      </c>
      <c r="G31" s="147">
        <f xml:space="preserve"> (G5*G6 + G11 *G12)/(G5+G11)</f>
        <v>0</v>
      </c>
      <c r="H31" s="9" t="s">
        <v>29</v>
      </c>
      <c r="I31" s="8"/>
      <c r="J31" s="8" t="s">
        <v>178</v>
      </c>
      <c r="K31" s="8"/>
      <c r="L31" s="8"/>
      <c r="M31" s="8"/>
      <c r="N31" s="8"/>
      <c r="O31" s="8"/>
      <c r="Q31" s="200" t="s">
        <v>37</v>
      </c>
      <c r="R31" s="200"/>
      <c r="S31" s="200"/>
      <c r="T31" s="200"/>
      <c r="U31" s="200"/>
      <c r="V31" s="69" t="s">
        <v>97</v>
      </c>
      <c r="W31" s="149">
        <v>0.45</v>
      </c>
      <c r="X31" s="67" t="s">
        <v>30</v>
      </c>
      <c r="Y31" s="64"/>
      <c r="Z31" s="64"/>
      <c r="AA31" s="64"/>
      <c r="AB31" s="64"/>
      <c r="AC31" s="64"/>
      <c r="AD31" s="64"/>
      <c r="AE31" s="132"/>
      <c r="AF31" s="111" t="s">
        <v>43</v>
      </c>
      <c r="AG31" s="111"/>
      <c r="AH31" s="111"/>
      <c r="AI31" s="111"/>
      <c r="AJ31" s="111"/>
      <c r="AK31" s="16" t="s">
        <v>164</v>
      </c>
      <c r="AL31" s="140">
        <f>AL30-AL27</f>
        <v>5.8123371946666662</v>
      </c>
      <c r="AM31" s="80" t="s">
        <v>29</v>
      </c>
      <c r="AN31" s="37"/>
      <c r="AO31" s="8" t="s">
        <v>169</v>
      </c>
      <c r="AP31" s="74"/>
      <c r="AQ31" s="74"/>
      <c r="AR31" s="74"/>
      <c r="AS31" s="74"/>
      <c r="AT31" s="74"/>
    </row>
    <row r="32" spans="1:46" ht="15.75" customHeight="1">
      <c r="A32" s="181" t="s">
        <v>73</v>
      </c>
      <c r="B32" s="181"/>
      <c r="C32" s="181"/>
      <c r="D32" s="181"/>
      <c r="E32" s="181"/>
      <c r="F32" s="16" t="s">
        <v>8</v>
      </c>
      <c r="G32" s="147">
        <f>G30-G31</f>
        <v>10.745670528</v>
      </c>
      <c r="H32" s="9" t="s">
        <v>29</v>
      </c>
      <c r="I32" s="8"/>
      <c r="J32" s="8" t="s">
        <v>179</v>
      </c>
      <c r="K32" s="8"/>
      <c r="L32" s="8"/>
      <c r="M32" s="8"/>
      <c r="N32" s="8"/>
      <c r="O32" s="8"/>
      <c r="Q32" s="200" t="s">
        <v>38</v>
      </c>
      <c r="R32" s="200"/>
      <c r="S32" s="200"/>
      <c r="T32" s="200"/>
      <c r="U32" s="200"/>
      <c r="V32" s="69" t="s">
        <v>97</v>
      </c>
      <c r="W32" s="149">
        <v>0.75</v>
      </c>
      <c r="X32" s="67" t="s">
        <v>30</v>
      </c>
      <c r="Y32" s="64"/>
      <c r="Z32" s="64"/>
      <c r="AA32" s="64"/>
      <c r="AB32" s="64"/>
      <c r="AC32" s="64"/>
      <c r="AD32" s="64"/>
      <c r="AE32" s="132"/>
      <c r="AF32" s="181" t="s">
        <v>75</v>
      </c>
      <c r="AG32" s="181"/>
      <c r="AH32" s="181"/>
      <c r="AI32" s="181"/>
      <c r="AJ32" s="181"/>
      <c r="AK32" s="16" t="s">
        <v>54</v>
      </c>
      <c r="AL32" s="147">
        <f>AL29*2.664</f>
        <v>6.3225600000000011</v>
      </c>
      <c r="AM32" s="9" t="s">
        <v>29</v>
      </c>
      <c r="AN32" s="8"/>
      <c r="AO32" s="8" t="s">
        <v>82</v>
      </c>
      <c r="AP32" s="8"/>
      <c r="AQ32" s="74"/>
      <c r="AR32" s="74"/>
      <c r="AS32" s="74"/>
      <c r="AT32" s="74"/>
    </row>
    <row r="33" spans="1:46" ht="15.75" customHeight="1">
      <c r="A33" s="181" t="s">
        <v>74</v>
      </c>
      <c r="B33" s="181"/>
      <c r="C33" s="181"/>
      <c r="D33" s="181"/>
      <c r="E33" s="181"/>
      <c r="F33" s="16" t="s">
        <v>78</v>
      </c>
      <c r="G33" s="147">
        <f>+(G5*G7+G11*G13)/(G5+G11)</f>
        <v>30</v>
      </c>
      <c r="H33" s="9" t="s">
        <v>29</v>
      </c>
      <c r="I33" s="8"/>
      <c r="J33" s="8" t="s">
        <v>79</v>
      </c>
      <c r="K33" s="8"/>
      <c r="L33" s="8"/>
      <c r="M33" s="8"/>
      <c r="N33" s="8"/>
      <c r="O33" s="8"/>
      <c r="Q33" s="200" t="s">
        <v>39</v>
      </c>
      <c r="R33" s="200"/>
      <c r="S33" s="200"/>
      <c r="T33" s="200"/>
      <c r="U33" s="200"/>
      <c r="V33" s="69" t="s">
        <v>97</v>
      </c>
      <c r="W33" s="149">
        <v>1</v>
      </c>
      <c r="X33" s="67" t="s">
        <v>30</v>
      </c>
      <c r="Y33" s="64"/>
      <c r="Z33" s="64"/>
      <c r="AA33" s="64"/>
      <c r="AB33" s="64"/>
      <c r="AC33" s="64"/>
      <c r="AD33" s="64"/>
      <c r="AE33" s="132"/>
      <c r="AF33" s="44"/>
      <c r="AG33" s="44"/>
      <c r="AH33" s="44"/>
      <c r="AI33" s="44"/>
      <c r="AJ33" s="44"/>
      <c r="AK33" s="45"/>
      <c r="AL33" s="62"/>
      <c r="AM33" s="44"/>
    </row>
    <row r="34" spans="1:46" ht="15.75" customHeight="1">
      <c r="A34" s="181" t="s">
        <v>75</v>
      </c>
      <c r="B34" s="181"/>
      <c r="C34" s="181"/>
      <c r="D34" s="181"/>
      <c r="E34" s="181"/>
      <c r="F34" s="16" t="s">
        <v>54</v>
      </c>
      <c r="G34" s="147">
        <f>G33*2.664</f>
        <v>79.92</v>
      </c>
      <c r="H34" s="9" t="s">
        <v>29</v>
      </c>
      <c r="I34" s="8"/>
      <c r="J34" s="8" t="s">
        <v>234</v>
      </c>
      <c r="K34" s="8"/>
      <c r="L34" s="8"/>
      <c r="M34" s="8"/>
      <c r="N34" s="8"/>
      <c r="O34" s="8"/>
      <c r="Q34" s="200" t="s">
        <v>40</v>
      </c>
      <c r="R34" s="200"/>
      <c r="S34" s="200"/>
      <c r="T34" s="200"/>
      <c r="U34" s="200"/>
      <c r="V34" s="69" t="s">
        <v>97</v>
      </c>
      <c r="W34" s="149">
        <v>0.8</v>
      </c>
      <c r="X34" s="67" t="s">
        <v>30</v>
      </c>
      <c r="Y34" s="64"/>
      <c r="Z34" s="64"/>
      <c r="AA34" s="64"/>
      <c r="AB34" s="64"/>
      <c r="AC34" s="64"/>
      <c r="AD34" s="64"/>
      <c r="AE34" s="132"/>
      <c r="AF34" s="179" t="s">
        <v>131</v>
      </c>
      <c r="AG34" s="179"/>
      <c r="AH34" s="179"/>
      <c r="AI34" s="179"/>
      <c r="AJ34" s="179"/>
      <c r="AK34" s="179"/>
      <c r="AL34" s="179"/>
      <c r="AM34" s="179"/>
      <c r="AN34" s="6"/>
      <c r="AO34" s="6"/>
    </row>
    <row r="35" spans="1:46" ht="15.75" customHeight="1">
      <c r="A35" s="12"/>
      <c r="B35" s="8"/>
      <c r="C35" s="8"/>
      <c r="D35" s="8"/>
      <c r="E35" s="8"/>
      <c r="F35" s="13"/>
      <c r="G35" s="15"/>
      <c r="H35" s="8"/>
      <c r="I35" s="8"/>
      <c r="J35" s="8"/>
      <c r="K35" s="8"/>
      <c r="L35" s="8"/>
      <c r="M35" s="8"/>
      <c r="N35" s="8"/>
      <c r="O35" s="8"/>
      <c r="Q35" s="200" t="s">
        <v>41</v>
      </c>
      <c r="R35" s="200"/>
      <c r="S35" s="200"/>
      <c r="T35" s="200"/>
      <c r="U35" s="200"/>
      <c r="V35" s="69" t="s">
        <v>97</v>
      </c>
      <c r="W35" s="149">
        <v>0.05</v>
      </c>
      <c r="X35" s="67" t="s">
        <v>30</v>
      </c>
      <c r="Y35" s="64"/>
      <c r="Z35" s="64"/>
      <c r="AA35" s="64"/>
      <c r="AB35" s="64"/>
      <c r="AC35" s="64"/>
      <c r="AD35" s="64"/>
      <c r="AE35" s="132"/>
      <c r="AF35" s="227" t="s">
        <v>132</v>
      </c>
      <c r="AG35" s="227"/>
      <c r="AH35" s="227"/>
      <c r="AI35" s="227"/>
      <c r="AJ35" s="227"/>
      <c r="AK35" s="14" t="s">
        <v>80</v>
      </c>
      <c r="AL35" s="120">
        <f>AL27</f>
        <v>4.9333333333333336</v>
      </c>
      <c r="AM35" s="112" t="s">
        <v>29</v>
      </c>
      <c r="AN35" s="6"/>
      <c r="AO35" s="6"/>
    </row>
    <row r="36" spans="1:46" ht="15.75" customHeight="1">
      <c r="A36" s="179" t="s">
        <v>131</v>
      </c>
      <c r="B36" s="179"/>
      <c r="C36" s="179"/>
      <c r="D36" s="179"/>
      <c r="E36" s="179"/>
      <c r="F36" s="179"/>
      <c r="G36" s="179"/>
      <c r="H36" s="179"/>
      <c r="I36" s="6"/>
      <c r="J36" s="6"/>
      <c r="K36" s="6"/>
      <c r="L36" s="6"/>
      <c r="M36" s="6"/>
      <c r="N36" s="6"/>
      <c r="O36" s="6"/>
      <c r="Q36" s="42"/>
      <c r="R36" s="42"/>
      <c r="S36" s="42"/>
      <c r="T36" s="42"/>
      <c r="U36" s="42"/>
      <c r="V36" s="42"/>
      <c r="W36" s="42"/>
      <c r="X36" s="42"/>
      <c r="Y36" s="42"/>
      <c r="Z36" s="42"/>
      <c r="AA36" s="42"/>
      <c r="AB36" s="42"/>
      <c r="AC36" s="42"/>
      <c r="AD36" s="42"/>
      <c r="AE36" s="128"/>
      <c r="AF36" s="227" t="s">
        <v>27</v>
      </c>
      <c r="AG36" s="227"/>
      <c r="AH36" s="227"/>
      <c r="AI36" s="227"/>
      <c r="AJ36" s="227"/>
      <c r="AK36" s="14" t="s">
        <v>28</v>
      </c>
      <c r="AL36" s="120">
        <f>MIN(AM42:AM142)</f>
        <v>4.9333333333333336</v>
      </c>
      <c r="AM36" s="106" t="s">
        <v>29</v>
      </c>
      <c r="AN36" s="6"/>
      <c r="AO36" s="6"/>
    </row>
    <row r="37" spans="1:46" ht="15.75" customHeight="1">
      <c r="A37" s="227" t="s">
        <v>132</v>
      </c>
      <c r="B37" s="227"/>
      <c r="C37" s="227"/>
      <c r="D37" s="227"/>
      <c r="E37" s="227"/>
      <c r="F37" s="14" t="s">
        <v>80</v>
      </c>
      <c r="G37" s="120">
        <f>G31</f>
        <v>0</v>
      </c>
      <c r="H37" s="112" t="s">
        <v>29</v>
      </c>
      <c r="I37" s="6"/>
      <c r="J37" s="6"/>
      <c r="K37" s="6"/>
      <c r="L37" s="6"/>
      <c r="M37" s="6"/>
      <c r="N37" s="6"/>
      <c r="O37" s="6"/>
      <c r="Q37" s="199" t="s">
        <v>85</v>
      </c>
      <c r="R37" s="199"/>
      <c r="S37" s="199"/>
      <c r="T37" s="199"/>
      <c r="U37" s="199"/>
      <c r="V37" s="199"/>
      <c r="W37" s="199"/>
      <c r="X37" s="199"/>
      <c r="Y37" s="6"/>
      <c r="Z37" s="6"/>
      <c r="AA37" s="6"/>
      <c r="AB37" s="6"/>
      <c r="AC37" s="6"/>
      <c r="AD37" s="6"/>
      <c r="AE37" s="133"/>
      <c r="AF37" s="166"/>
      <c r="AG37" s="166"/>
      <c r="AH37" s="166"/>
      <c r="AI37" s="166"/>
      <c r="AJ37" s="166"/>
      <c r="AK37" s="13"/>
      <c r="AL37" s="15"/>
      <c r="AM37" s="8"/>
      <c r="AN37" s="6"/>
      <c r="AO37" s="6"/>
    </row>
    <row r="38" spans="1:46" ht="15.75" customHeight="1">
      <c r="A38" s="227" t="s">
        <v>27</v>
      </c>
      <c r="B38" s="227"/>
      <c r="C38" s="227"/>
      <c r="D38" s="227"/>
      <c r="E38" s="227"/>
      <c r="F38" s="14" t="s">
        <v>28</v>
      </c>
      <c r="G38" s="120">
        <f>MIN(G42:G82)</f>
        <v>0</v>
      </c>
      <c r="H38" s="106" t="s">
        <v>29</v>
      </c>
      <c r="I38" s="6"/>
      <c r="J38" s="6" t="s">
        <v>233</v>
      </c>
      <c r="K38" s="6"/>
      <c r="L38" s="6"/>
      <c r="M38" s="6"/>
      <c r="N38" s="6"/>
      <c r="O38" s="6"/>
      <c r="Q38" s="232" t="s">
        <v>9</v>
      </c>
      <c r="R38" s="232"/>
      <c r="S38" s="232"/>
      <c r="T38" s="232"/>
      <c r="U38" s="232"/>
      <c r="V38" s="47" t="s">
        <v>65</v>
      </c>
      <c r="W38" s="150">
        <v>0.03</v>
      </c>
      <c r="X38" s="113" t="s">
        <v>13</v>
      </c>
      <c r="Y38" s="8"/>
      <c r="Z38" s="8" t="s">
        <v>229</v>
      </c>
      <c r="AA38" s="8"/>
      <c r="AB38" s="8"/>
      <c r="AC38" s="8"/>
      <c r="AD38" s="8"/>
      <c r="AE38" s="133"/>
      <c r="AF38" s="226" t="s">
        <v>11</v>
      </c>
      <c r="AG38" s="222" t="s">
        <v>159</v>
      </c>
      <c r="AH38" s="222" t="s">
        <v>194</v>
      </c>
      <c r="AI38" s="222" t="s">
        <v>199</v>
      </c>
      <c r="AJ38" s="222" t="s">
        <v>200</v>
      </c>
      <c r="AK38" s="222" t="s">
        <v>14</v>
      </c>
      <c r="AL38" s="222" t="s">
        <v>174</v>
      </c>
      <c r="AM38" s="222" t="s">
        <v>158</v>
      </c>
      <c r="AN38" s="88"/>
      <c r="AO38" s="88"/>
      <c r="AP38" s="88"/>
      <c r="AQ38" s="88"/>
      <c r="AR38" s="88"/>
      <c r="AS38" s="89"/>
      <c r="AT38" s="87"/>
    </row>
    <row r="39" spans="1:46" ht="15.75" customHeight="1">
      <c r="A39" s="8"/>
      <c r="B39" s="8"/>
      <c r="C39" s="8"/>
      <c r="D39" s="8"/>
      <c r="E39" s="8"/>
      <c r="F39" s="13"/>
      <c r="G39" s="15"/>
      <c r="H39" s="8"/>
      <c r="I39" s="6"/>
      <c r="J39" s="6"/>
      <c r="K39" s="6"/>
      <c r="L39" s="6"/>
      <c r="M39" s="6"/>
      <c r="N39" s="6"/>
      <c r="O39" s="6"/>
      <c r="Q39" s="232" t="s">
        <v>67</v>
      </c>
      <c r="R39" s="232"/>
      <c r="S39" s="232"/>
      <c r="T39" s="232"/>
      <c r="U39" s="232"/>
      <c r="V39" s="47" t="s">
        <v>69</v>
      </c>
      <c r="W39" s="150">
        <f>W38*(-0.2088+0.0604*W8)</f>
        <v>4.2659999999999997E-2</v>
      </c>
      <c r="X39" s="113" t="s">
        <v>13</v>
      </c>
      <c r="Y39" s="8"/>
      <c r="Z39" s="8" t="s">
        <v>230</v>
      </c>
      <c r="AA39" s="8"/>
      <c r="AB39" s="8"/>
      <c r="AC39" s="8"/>
      <c r="AD39" s="8"/>
      <c r="AE39" s="133"/>
      <c r="AF39" s="226"/>
      <c r="AG39" s="222"/>
      <c r="AH39" s="222"/>
      <c r="AI39" s="222"/>
      <c r="AJ39" s="222"/>
      <c r="AK39" s="222"/>
      <c r="AL39" s="222"/>
      <c r="AM39" s="222"/>
      <c r="AN39" s="90"/>
      <c r="AO39" s="90"/>
      <c r="AP39" s="90"/>
      <c r="AQ39" s="90"/>
      <c r="AR39" s="90"/>
      <c r="AS39" s="79"/>
      <c r="AT39" s="70"/>
    </row>
    <row r="40" spans="1:46" ht="15.75" customHeight="1">
      <c r="A40" s="169" t="s">
        <v>11</v>
      </c>
      <c r="B40" s="169"/>
      <c r="C40" s="169" t="s">
        <v>12</v>
      </c>
      <c r="D40" s="169"/>
      <c r="E40" s="169" t="s">
        <v>87</v>
      </c>
      <c r="F40" s="169"/>
      <c r="G40" s="169" t="s">
        <v>89</v>
      </c>
      <c r="H40" s="169"/>
      <c r="I40" s="6"/>
      <c r="J40" s="6"/>
      <c r="K40" s="6"/>
      <c r="L40" s="6"/>
      <c r="M40" s="6"/>
      <c r="N40" s="6"/>
      <c r="O40" s="6"/>
      <c r="Q40" s="232" t="s">
        <v>68</v>
      </c>
      <c r="R40" s="232"/>
      <c r="S40" s="232"/>
      <c r="T40" s="232"/>
      <c r="U40" s="232"/>
      <c r="V40" s="47" t="s">
        <v>66</v>
      </c>
      <c r="W40" s="150">
        <f>3.93*W51^0.5/W16^1.5</f>
        <v>0.47270553289900613</v>
      </c>
      <c r="X40" s="113" t="s">
        <v>13</v>
      </c>
      <c r="Y40" s="8"/>
      <c r="Z40" s="8" t="s">
        <v>190</v>
      </c>
      <c r="AA40" s="8"/>
      <c r="AB40" s="8"/>
      <c r="AC40" s="8"/>
      <c r="AD40" s="8"/>
      <c r="AE40" s="133"/>
      <c r="AF40" s="226"/>
      <c r="AG40" s="222"/>
      <c r="AH40" s="222"/>
      <c r="AI40" s="222"/>
      <c r="AJ40" s="222"/>
      <c r="AK40" s="222"/>
      <c r="AL40" s="222"/>
      <c r="AM40" s="222"/>
      <c r="AN40" s="92"/>
      <c r="AP40" s="91"/>
      <c r="AQ40" s="91"/>
      <c r="AR40" s="91"/>
      <c r="AS40" s="79"/>
      <c r="AT40" s="72"/>
    </row>
    <row r="41" spans="1:46" ht="15.75" customHeight="1">
      <c r="A41" s="169" t="s">
        <v>21</v>
      </c>
      <c r="B41" s="169"/>
      <c r="C41" s="169" t="s">
        <v>20</v>
      </c>
      <c r="D41" s="169"/>
      <c r="E41" s="169" t="s">
        <v>86</v>
      </c>
      <c r="F41" s="169"/>
      <c r="G41" s="169" t="s">
        <v>88</v>
      </c>
      <c r="H41" s="169"/>
      <c r="I41" s="6"/>
      <c r="J41" s="6"/>
      <c r="K41" s="6"/>
      <c r="L41" s="6"/>
      <c r="M41" s="6"/>
      <c r="N41" s="6"/>
      <c r="O41" s="6"/>
      <c r="Q41" s="232" t="s">
        <v>71</v>
      </c>
      <c r="R41" s="232"/>
      <c r="S41" s="232"/>
      <c r="T41" s="232"/>
      <c r="U41" s="232"/>
      <c r="V41" s="47" t="s">
        <v>70</v>
      </c>
      <c r="W41" s="150">
        <f>+W40*1.024^(W8-20)</f>
        <v>0.55807219120732532</v>
      </c>
      <c r="X41" s="113" t="s">
        <v>13</v>
      </c>
      <c r="Y41" s="8"/>
      <c r="Z41" s="8" t="s">
        <v>189</v>
      </c>
      <c r="AA41" s="8"/>
      <c r="AB41" s="8"/>
      <c r="AC41" s="8"/>
      <c r="AD41" s="8"/>
      <c r="AE41" s="133"/>
      <c r="AF41" s="107" t="s">
        <v>21</v>
      </c>
      <c r="AG41" s="107" t="s">
        <v>175</v>
      </c>
      <c r="AH41" s="107" t="s">
        <v>195</v>
      </c>
      <c r="AI41" s="107" t="s">
        <v>197</v>
      </c>
      <c r="AJ41" s="107" t="s">
        <v>198</v>
      </c>
      <c r="AK41" s="107" t="s">
        <v>196</v>
      </c>
      <c r="AL41" s="107" t="s">
        <v>160</v>
      </c>
      <c r="AM41" s="117" t="s">
        <v>161</v>
      </c>
      <c r="AN41" s="91"/>
      <c r="AO41" s="91"/>
      <c r="AP41" s="91"/>
      <c r="AQ41" s="91"/>
      <c r="AR41" s="91"/>
      <c r="AS41" s="79"/>
      <c r="AT41" s="72"/>
    </row>
    <row r="42" spans="1:46" ht="15.75" customHeight="1">
      <c r="A42" s="234">
        <v>0</v>
      </c>
      <c r="B42" s="234"/>
      <c r="C42" s="170">
        <f t="shared" ref="C42" si="0">+A42*86400*$G$32/1000</f>
        <v>0</v>
      </c>
      <c r="D42" s="170"/>
      <c r="E42" s="235">
        <f t="shared" ref="E42:E82" si="1">+$G$32*EXP(-$G$24*A42)+($G$22*$G$34/($G$24-$G$22))*(EXP(-$G$22*A42)-EXP(-$G$24*A42))</f>
        <v>10.745670528</v>
      </c>
      <c r="F42" s="235"/>
      <c r="G42" s="235">
        <f t="shared" ref="G42:G82" si="2">IF((+$G$30-E42)&gt;=0,(+$G$30-E42),0)</f>
        <v>0</v>
      </c>
      <c r="H42" s="235"/>
      <c r="I42" s="6"/>
      <c r="J42" s="6"/>
      <c r="K42" s="6"/>
      <c r="L42" s="6"/>
      <c r="M42" s="6"/>
      <c r="N42" s="6"/>
      <c r="O42" s="6"/>
      <c r="Q42" s="232" t="s">
        <v>23</v>
      </c>
      <c r="R42" s="232"/>
      <c r="S42" s="232"/>
      <c r="T42" s="232"/>
      <c r="U42" s="232"/>
      <c r="V42" s="47" t="s">
        <v>155</v>
      </c>
      <c r="W42" s="149">
        <v>0.5</v>
      </c>
      <c r="X42" s="113" t="s">
        <v>10</v>
      </c>
      <c r="Y42" s="8"/>
      <c r="Z42" s="8"/>
      <c r="AA42" s="8"/>
      <c r="AB42" s="8"/>
      <c r="AC42" s="8"/>
      <c r="AD42" s="8"/>
      <c r="AE42" s="133"/>
      <c r="AF42" s="159">
        <v>0</v>
      </c>
      <c r="AG42" s="158">
        <f>AL32</f>
        <v>6.3225600000000011</v>
      </c>
      <c r="AH42" s="158">
        <f>AL28</f>
        <v>12</v>
      </c>
      <c r="AI42" s="167">
        <f>$AL$22*1.024^(AH42-20)</f>
        <v>0.29425589641671884</v>
      </c>
      <c r="AJ42" s="167">
        <f>$AL$20*(-0.2088+0.0604*AH42)</f>
        <v>1.5480000000000001E-2</v>
      </c>
      <c r="AK42" s="158">
        <f>14.652 - (0.41022*AH42) + (0.007991*AH42^2) - (0.000077774*AH42^3)</f>
        <v>10.745670528</v>
      </c>
      <c r="AL42" s="158">
        <f>AL31</f>
        <v>5.8123371946666662</v>
      </c>
      <c r="AM42" s="158">
        <f>AL27</f>
        <v>4.9333333333333336</v>
      </c>
      <c r="AN42" s="91"/>
      <c r="AO42" t="s">
        <v>157</v>
      </c>
      <c r="AP42" s="91"/>
      <c r="AQ42" s="91"/>
      <c r="AR42" s="91"/>
      <c r="AS42" s="79"/>
      <c r="AT42" s="72"/>
    </row>
    <row r="43" spans="1:46" ht="15.75" customHeight="1">
      <c r="A43" s="234">
        <f>+A42+$G$25</f>
        <v>0.5</v>
      </c>
      <c r="B43" s="234"/>
      <c r="C43" s="170">
        <f>+A43*86400*$G$28/1000</f>
        <v>0.4</v>
      </c>
      <c r="D43" s="170"/>
      <c r="E43" s="235">
        <f t="shared" si="1"/>
        <v>10.767035989801679</v>
      </c>
      <c r="F43" s="235"/>
      <c r="G43" s="235">
        <f t="shared" si="2"/>
        <v>0</v>
      </c>
      <c r="H43" s="235"/>
      <c r="I43" s="6"/>
      <c r="J43" s="6" t="s">
        <v>186</v>
      </c>
      <c r="K43" s="6"/>
      <c r="L43" s="6"/>
      <c r="M43" s="6"/>
      <c r="N43" s="6"/>
      <c r="O43" s="6"/>
      <c r="Q43" s="51"/>
      <c r="R43" s="51"/>
      <c r="S43" s="51"/>
      <c r="T43" s="51"/>
      <c r="U43" s="51"/>
      <c r="V43" s="13"/>
      <c r="W43" s="15"/>
      <c r="X43" s="8"/>
      <c r="Y43" s="8"/>
      <c r="Z43" s="8"/>
      <c r="AA43" s="8"/>
      <c r="AB43" s="8"/>
      <c r="AC43" s="8"/>
      <c r="AD43" s="8"/>
      <c r="AE43" s="133"/>
      <c r="AF43" s="159">
        <f>+AF42+$AL$24</f>
        <v>1</v>
      </c>
      <c r="AG43" s="158">
        <f>IF(AF43&lt;$AL$9,(((AG42*EXP(-$AL$21*$AL$24))*($AL$12-$AL$5*86400*$AL$24)+(2.664*$AL$7*$AL$5*86400*$AL$24))/$AL$12),(AG42*EXP(-$AL$21*$AL$24)))</f>
        <v>7.2080345439558613</v>
      </c>
      <c r="AH43" s="158">
        <f>IF(AF43&lt;$AL$9,((AH42*($AL$12-$AL$5*86400*$AL$24)+($AL$8*$AL$5*86400*$AL$24))/$AL$12),AH42)</f>
        <v>12</v>
      </c>
      <c r="AI43" s="167">
        <f t="shared" ref="AI43:AI106" si="3">$AL$22*1.024^(AH43-20)</f>
        <v>0.29425589641671884</v>
      </c>
      <c r="AJ43" s="167">
        <f>$AL$20*(-0.2088+0.0604*AH43)</f>
        <v>1.5480000000000001E-2</v>
      </c>
      <c r="AK43" s="158">
        <f t="shared" ref="AK43:AK106" si="4">14.652 - (0.41022*AH43) + (0.007991*AH43^2) - (0.000077774*AH43^3)</f>
        <v>10.745670528</v>
      </c>
      <c r="AL43" s="158">
        <f>$AL$30-AM43</f>
        <v>4.4992045354231287</v>
      </c>
      <c r="AM43" s="158">
        <f>IF(AF43&lt;$AL$9,(((AK42-(AL42*EXP(-AI42*$AL$24)+(AJ42*AG42/(AI42-AJ42))*(EXP(-AJ42*$AL$24)-EXP(-AI42*$AL$24))))*($AL$12-$AL$5*86400*$AL$24)+($AL$6*$AL$5*86400*$AL$24))/$AL$12),(AK42-(AL42*EXP(-AI42*$AL$24)+(AJ42*AG42/(AI42-AJ42))*(EXP(-AJ42*$AL$24)-EXP(-AI42*$AL$24)))))</f>
        <v>6.2464659925768711</v>
      </c>
      <c r="AN43" s="91"/>
      <c r="AO43" s="91"/>
      <c r="AP43" s="91"/>
      <c r="AQ43" s="91"/>
      <c r="AR43" s="91"/>
      <c r="AS43" s="79"/>
      <c r="AT43" s="72"/>
    </row>
    <row r="44" spans="1:46" ht="15.75" customHeight="1">
      <c r="A44" s="234">
        <f t="shared" ref="A44:A82" si="5">+A43+$G$25</f>
        <v>1</v>
      </c>
      <c r="B44" s="234"/>
      <c r="C44" s="170">
        <f t="shared" ref="C44:C82" si="6">+A44*86400*$G$28/1000</f>
        <v>0.8</v>
      </c>
      <c r="D44" s="170"/>
      <c r="E44" s="235">
        <f t="shared" si="1"/>
        <v>10.782630275048088</v>
      </c>
      <c r="F44" s="235"/>
      <c r="G44" s="235">
        <f t="shared" si="2"/>
        <v>0</v>
      </c>
      <c r="H44" s="235"/>
      <c r="I44" s="6"/>
      <c r="J44" s="6"/>
      <c r="K44" s="6"/>
      <c r="L44" s="6"/>
      <c r="M44" s="6"/>
      <c r="N44" s="6"/>
      <c r="O44" s="6"/>
      <c r="Q44" s="52" t="s">
        <v>117</v>
      </c>
      <c r="R44" s="52"/>
      <c r="S44" s="52"/>
      <c r="T44" s="52"/>
      <c r="U44" s="52"/>
      <c r="V44" s="52"/>
      <c r="W44" s="52"/>
      <c r="X44" s="52"/>
      <c r="Y44" s="53"/>
      <c r="Z44" s="53"/>
      <c r="AA44" s="53"/>
      <c r="AB44" s="53"/>
      <c r="AC44" s="42"/>
      <c r="AD44" s="42"/>
      <c r="AE44" s="128"/>
      <c r="AF44" s="159">
        <f t="shared" ref="AF44:AF107" si="7">+AF43+$AL$24</f>
        <v>2</v>
      </c>
      <c r="AG44" s="158">
        <f t="shared" ref="AG44:AG107" si="8">IF(AF44&lt;$AL$9,(((AG43*EXP(-$AL$21*$AL$24))*($AL$12-$AL$5*86400*$AL$24)+(2.664*$AL$7*$AL$5*86400*$AL$24))/$AL$12),(AG43*EXP(-$AL$21*$AL$24)))</f>
        <v>8.0682825173381687</v>
      </c>
      <c r="AH44" s="158">
        <f t="shared" ref="AH44:AH107" si="9">IF(AF44&lt;$AL$9,((AH43*($AL$12-$AL$5*86400*$AL$24)+($AL$8*$AL$5*86400*$AL$24))/$AL$12),AH43)</f>
        <v>12</v>
      </c>
      <c r="AI44" s="167">
        <f t="shared" si="3"/>
        <v>0.29425589641671884</v>
      </c>
      <c r="AJ44" s="167">
        <f t="shared" ref="AJ44:AJ107" si="10">$AL$20*(-0.2088+0.0604*AH44)</f>
        <v>1.5480000000000001E-2</v>
      </c>
      <c r="AK44" s="158">
        <f t="shared" si="4"/>
        <v>10.745670528</v>
      </c>
      <c r="AL44" s="158">
        <f t="shared" ref="AL44:AL107" si="11">$AL$30-AM44</f>
        <v>3.5454748859607008</v>
      </c>
      <c r="AM44" s="158">
        <f t="shared" ref="AM44:AM107" si="12">IF(AF44&lt;$AL$9,(((AK43-(AL43*EXP(-AI43*$AL$24)+(AJ43*AG43/(AI43-AJ43))*(EXP(-AJ43*$AL$24)-EXP(-AI43*$AL$24))))*($AL$12-$AL$5*86400*$AL$24)+($AL$6*$AL$5*86400*$AL$24))/$AL$12),(AK43-(AL43*EXP(-AI43*$AL$24)+(AJ43*AG43/(AI43-AJ43))*(EXP(-AJ43*$AL$24)-EXP(-AI43*$AL$24)))))</f>
        <v>7.200195642039299</v>
      </c>
      <c r="AN44" s="91"/>
      <c r="AO44" s="91"/>
      <c r="AP44" s="91"/>
      <c r="AQ44" s="91"/>
      <c r="AR44" s="91"/>
      <c r="AS44" s="79"/>
      <c r="AT44" s="72"/>
    </row>
    <row r="45" spans="1:46" ht="15.75" customHeight="1">
      <c r="A45" s="234">
        <f t="shared" si="5"/>
        <v>1.5</v>
      </c>
      <c r="B45" s="234"/>
      <c r="C45" s="170">
        <f t="shared" si="6"/>
        <v>1.2</v>
      </c>
      <c r="D45" s="170"/>
      <c r="E45" s="235">
        <f t="shared" si="1"/>
        <v>10.792799487146294</v>
      </c>
      <c r="F45" s="235"/>
      <c r="G45" s="235">
        <f t="shared" si="2"/>
        <v>0</v>
      </c>
      <c r="H45" s="235"/>
      <c r="I45" s="6"/>
      <c r="J45" t="s">
        <v>83</v>
      </c>
      <c r="K45" s="6"/>
      <c r="L45" s="6"/>
      <c r="M45" s="6"/>
      <c r="N45" s="6"/>
      <c r="O45" s="6"/>
      <c r="Q45" s="233" t="s">
        <v>14</v>
      </c>
      <c r="R45" s="233"/>
      <c r="S45" s="233"/>
      <c r="T45" s="233"/>
      <c r="U45" s="233"/>
      <c r="V45" s="54" t="s">
        <v>99</v>
      </c>
      <c r="W45" s="147">
        <f>14.652 - (0.41022*W8) + (0.007991*W8^2) - (0.000077774*W8^3)</f>
        <v>7.8706733580000012</v>
      </c>
      <c r="X45" s="9" t="s">
        <v>29</v>
      </c>
      <c r="Y45" s="37"/>
      <c r="Z45" s="8" t="s">
        <v>81</v>
      </c>
      <c r="AA45" s="42"/>
      <c r="AB45" s="42"/>
      <c r="AC45" s="42"/>
      <c r="AD45" s="42"/>
      <c r="AE45" s="128"/>
      <c r="AF45" s="159">
        <f t="shared" si="7"/>
        <v>3</v>
      </c>
      <c r="AG45" s="158">
        <f t="shared" si="8"/>
        <v>8.9040226080722231</v>
      </c>
      <c r="AH45" s="158">
        <f t="shared" si="9"/>
        <v>12</v>
      </c>
      <c r="AI45" s="167">
        <f t="shared" si="3"/>
        <v>0.29425589641671884</v>
      </c>
      <c r="AJ45" s="167">
        <f t="shared" si="10"/>
        <v>1.5480000000000001E-2</v>
      </c>
      <c r="AK45" s="158">
        <f t="shared" si="4"/>
        <v>10.745670528</v>
      </c>
      <c r="AL45" s="158">
        <f t="shared" si="11"/>
        <v>2.8556297447948484</v>
      </c>
      <c r="AM45" s="158">
        <f t="shared" si="12"/>
        <v>7.8900407832051513</v>
      </c>
      <c r="AN45" s="91"/>
      <c r="AO45" s="91"/>
      <c r="AP45" s="91"/>
      <c r="AQ45" s="91"/>
      <c r="AR45" s="91"/>
      <c r="AS45" s="79"/>
      <c r="AT45" s="72"/>
    </row>
    <row r="46" spans="1:46" ht="15.75" customHeight="1">
      <c r="A46" s="234">
        <f t="shared" si="5"/>
        <v>2</v>
      </c>
      <c r="B46" s="234"/>
      <c r="C46" s="170">
        <f t="shared" si="6"/>
        <v>1.6</v>
      </c>
      <c r="D46" s="170"/>
      <c r="E46" s="235">
        <f t="shared" si="1"/>
        <v>10.797870835620461</v>
      </c>
      <c r="F46" s="235"/>
      <c r="G46" s="235">
        <f t="shared" si="2"/>
        <v>0</v>
      </c>
      <c r="H46" s="235"/>
      <c r="I46" s="6"/>
      <c r="J46" s="6"/>
      <c r="K46" s="6"/>
      <c r="L46" s="6"/>
      <c r="M46" s="6"/>
      <c r="N46" s="6"/>
      <c r="O46" s="6"/>
      <c r="Q46" s="233" t="s">
        <v>119</v>
      </c>
      <c r="R46" s="233"/>
      <c r="S46" s="233"/>
      <c r="T46" s="233"/>
      <c r="U46" s="233"/>
      <c r="V46" s="54" t="s">
        <v>120</v>
      </c>
      <c r="W46" s="147">
        <f>W45-W6</f>
        <v>6.8706733580000012</v>
      </c>
      <c r="X46" s="9" t="s">
        <v>29</v>
      </c>
      <c r="Y46" s="37"/>
      <c r="Z46" s="8" t="s">
        <v>121</v>
      </c>
      <c r="AA46" s="42"/>
      <c r="AB46" s="42"/>
      <c r="AC46" s="42"/>
      <c r="AD46" s="42"/>
      <c r="AE46" s="128"/>
      <c r="AF46" s="159">
        <f t="shared" si="7"/>
        <v>4</v>
      </c>
      <c r="AG46" s="158">
        <f t="shared" si="8"/>
        <v>9.715953029150656</v>
      </c>
      <c r="AH46" s="158">
        <f t="shared" si="9"/>
        <v>12</v>
      </c>
      <c r="AI46" s="167">
        <f t="shared" si="3"/>
        <v>0.29425589641671884</v>
      </c>
      <c r="AJ46" s="167">
        <f t="shared" si="10"/>
        <v>1.5480000000000001E-2</v>
      </c>
      <c r="AK46" s="158">
        <f t="shared" si="4"/>
        <v>10.745670528</v>
      </c>
      <c r="AL46" s="158">
        <f t="shared" si="11"/>
        <v>2.3594579915519205</v>
      </c>
      <c r="AM46" s="158">
        <f t="shared" si="12"/>
        <v>8.3862125364480793</v>
      </c>
      <c r="AN46" s="91"/>
      <c r="AO46" s="91"/>
      <c r="AP46" s="91"/>
      <c r="AQ46" s="91"/>
      <c r="AR46" s="91"/>
      <c r="AS46" s="79"/>
      <c r="AT46" s="72"/>
    </row>
    <row r="47" spans="1:46" ht="15.75" customHeight="1">
      <c r="A47" s="234">
        <f t="shared" si="5"/>
        <v>2.5</v>
      </c>
      <c r="B47" s="234"/>
      <c r="C47" s="170">
        <f t="shared" si="6"/>
        <v>2</v>
      </c>
      <c r="D47" s="170"/>
      <c r="E47" s="235">
        <f t="shared" si="1"/>
        <v>10.798153654654111</v>
      </c>
      <c r="F47" s="235"/>
      <c r="G47" s="235">
        <f t="shared" si="2"/>
        <v>0</v>
      </c>
      <c r="H47" s="235"/>
      <c r="I47" s="6"/>
      <c r="J47" s="6"/>
      <c r="K47" s="6"/>
      <c r="L47" s="6"/>
      <c r="M47" s="6"/>
      <c r="N47" s="6"/>
      <c r="O47" s="6"/>
      <c r="Q47" s="205" t="s">
        <v>108</v>
      </c>
      <c r="R47" s="205"/>
      <c r="S47" s="205"/>
      <c r="T47" s="205"/>
      <c r="U47" s="205"/>
      <c r="V47" s="56" t="s">
        <v>112</v>
      </c>
      <c r="W47" s="147">
        <f xml:space="preserve"> 1 + 0.38 * W12 * W13 * W11 * (1 - 0.11 * W11)*(1 + 0.046 * W8)</f>
        <v>1.1541195639999999</v>
      </c>
      <c r="X47" s="114" t="s">
        <v>30</v>
      </c>
      <c r="Y47" s="42"/>
      <c r="Z47" s="42" t="s">
        <v>191</v>
      </c>
      <c r="AA47" s="42"/>
      <c r="AB47" s="42"/>
      <c r="AC47" s="42"/>
      <c r="AD47" s="42"/>
      <c r="AE47" s="128"/>
      <c r="AF47" s="159">
        <f t="shared" si="7"/>
        <v>5</v>
      </c>
      <c r="AG47" s="158">
        <f t="shared" si="8"/>
        <v>10.504752101950407</v>
      </c>
      <c r="AH47" s="158">
        <f t="shared" si="9"/>
        <v>12</v>
      </c>
      <c r="AI47" s="167">
        <f t="shared" si="3"/>
        <v>0.29425589641671884</v>
      </c>
      <c r="AJ47" s="167">
        <f t="shared" si="10"/>
        <v>1.5480000000000001E-2</v>
      </c>
      <c r="AK47" s="158">
        <f t="shared" si="4"/>
        <v>10.745670528</v>
      </c>
      <c r="AL47" s="158">
        <f t="shared" si="11"/>
        <v>2.0053529918847453</v>
      </c>
      <c r="AM47" s="158">
        <f t="shared" si="12"/>
        <v>8.7403175361152545</v>
      </c>
      <c r="AN47" s="91"/>
      <c r="AO47" s="91"/>
      <c r="AP47" s="91"/>
      <c r="AQ47" s="91"/>
      <c r="AR47" s="91"/>
      <c r="AS47" s="79"/>
      <c r="AT47" s="72"/>
    </row>
    <row r="48" spans="1:46" ht="15.75" customHeight="1">
      <c r="A48" s="234">
        <f t="shared" si="5"/>
        <v>3</v>
      </c>
      <c r="B48" s="234"/>
      <c r="C48" s="170">
        <f t="shared" si="6"/>
        <v>2.4</v>
      </c>
      <c r="D48" s="170"/>
      <c r="E48" s="235">
        <f t="shared" si="1"/>
        <v>10.793940366822044</v>
      </c>
      <c r="F48" s="235"/>
      <c r="G48" s="235">
        <f t="shared" si="2"/>
        <v>0</v>
      </c>
      <c r="H48" s="235"/>
      <c r="I48" s="6"/>
      <c r="K48" s="6"/>
      <c r="L48" s="6"/>
      <c r="M48" s="6"/>
      <c r="N48" s="6"/>
      <c r="O48" s="6"/>
      <c r="Q48" s="205" t="s">
        <v>118</v>
      </c>
      <c r="R48" s="205"/>
      <c r="S48" s="205"/>
      <c r="T48" s="205"/>
      <c r="U48" s="205"/>
      <c r="V48" s="56" t="s">
        <v>110</v>
      </c>
      <c r="W48" s="147">
        <f>W46/W47</f>
        <v>5.953172940061175</v>
      </c>
      <c r="X48" s="9" t="s">
        <v>29</v>
      </c>
      <c r="Y48" s="42"/>
      <c r="Z48" s="8" t="s">
        <v>129</v>
      </c>
      <c r="AA48" s="42"/>
      <c r="AB48" s="42"/>
      <c r="AC48" s="42"/>
      <c r="AD48" s="42"/>
      <c r="AE48" s="128"/>
      <c r="AF48" s="159">
        <f t="shared" si="7"/>
        <v>6</v>
      </c>
      <c r="AG48" s="158">
        <f t="shared" si="8"/>
        <v>11.271078822931393</v>
      </c>
      <c r="AH48" s="158">
        <f t="shared" si="9"/>
        <v>12</v>
      </c>
      <c r="AI48" s="167">
        <f t="shared" si="3"/>
        <v>0.29425589641671884</v>
      </c>
      <c r="AJ48" s="167">
        <f t="shared" si="10"/>
        <v>1.5480000000000001E-2</v>
      </c>
      <c r="AK48" s="158">
        <f t="shared" si="4"/>
        <v>10.745670528</v>
      </c>
      <c r="AL48" s="158">
        <f t="shared" si="11"/>
        <v>1.7553849629265574</v>
      </c>
      <c r="AM48" s="158">
        <f t="shared" si="12"/>
        <v>8.9902855650734423</v>
      </c>
      <c r="AN48" s="91"/>
      <c r="AO48" s="91"/>
      <c r="AP48" s="91"/>
      <c r="AQ48" s="91"/>
      <c r="AR48" s="91"/>
      <c r="AS48" s="79"/>
      <c r="AT48" s="72"/>
    </row>
    <row r="49" spans="1:46" ht="15.75" customHeight="1">
      <c r="A49" s="234">
        <f t="shared" si="5"/>
        <v>3.5</v>
      </c>
      <c r="B49" s="234"/>
      <c r="C49" s="170">
        <f t="shared" si="6"/>
        <v>2.8</v>
      </c>
      <c r="D49" s="170"/>
      <c r="E49" s="235">
        <f t="shared" si="1"/>
        <v>10.785507394960707</v>
      </c>
      <c r="F49" s="235"/>
      <c r="G49" s="235">
        <f t="shared" si="2"/>
        <v>0</v>
      </c>
      <c r="H49" s="235"/>
      <c r="I49" s="6"/>
      <c r="J49" s="6"/>
      <c r="K49" s="6"/>
      <c r="L49" s="6"/>
      <c r="M49" s="6"/>
      <c r="N49" s="6"/>
      <c r="O49" s="6"/>
      <c r="Q49" s="205" t="s">
        <v>109</v>
      </c>
      <c r="R49" s="205"/>
      <c r="S49" s="205"/>
      <c r="T49" s="205"/>
      <c r="U49" s="205"/>
      <c r="V49" s="56" t="s">
        <v>111</v>
      </c>
      <c r="W49" s="147">
        <f>W45-W48</f>
        <v>1.9175004179388262</v>
      </c>
      <c r="X49" s="114" t="s">
        <v>29</v>
      </c>
      <c r="Y49" s="42"/>
      <c r="Z49" s="42" t="s">
        <v>128</v>
      </c>
      <c r="AA49" s="42"/>
      <c r="AB49" s="42"/>
      <c r="AC49" s="42"/>
      <c r="AD49" s="42"/>
      <c r="AE49" s="128"/>
      <c r="AF49" s="159">
        <f t="shared" si="7"/>
        <v>7</v>
      </c>
      <c r="AG49" s="158">
        <f t="shared" si="8"/>
        <v>12.015573414190323</v>
      </c>
      <c r="AH49" s="158">
        <f t="shared" si="9"/>
        <v>12</v>
      </c>
      <c r="AI49" s="167">
        <f t="shared" si="3"/>
        <v>0.29425589641671884</v>
      </c>
      <c r="AJ49" s="167">
        <f t="shared" si="10"/>
        <v>1.5480000000000001E-2</v>
      </c>
      <c r="AK49" s="158">
        <f t="shared" si="4"/>
        <v>10.745670528</v>
      </c>
      <c r="AL49" s="158">
        <f t="shared" si="11"/>
        <v>1.5816784236635648</v>
      </c>
      <c r="AM49" s="158">
        <f t="shared" si="12"/>
        <v>9.163992104336435</v>
      </c>
      <c r="AN49" s="91"/>
      <c r="AO49" s="91"/>
      <c r="AP49" s="91"/>
      <c r="AQ49" s="91"/>
      <c r="AR49" s="91"/>
      <c r="AS49" s="79"/>
      <c r="AT49" s="72"/>
    </row>
    <row r="50" spans="1:46" ht="15.75" customHeight="1">
      <c r="A50" s="234">
        <f t="shared" si="5"/>
        <v>4</v>
      </c>
      <c r="B50" s="234"/>
      <c r="C50" s="170">
        <f t="shared" si="6"/>
        <v>3.2</v>
      </c>
      <c r="D50" s="170"/>
      <c r="E50" s="235">
        <f t="shared" si="1"/>
        <v>10.7731160249671</v>
      </c>
      <c r="F50" s="235"/>
      <c r="G50" s="235">
        <f t="shared" si="2"/>
        <v>0</v>
      </c>
      <c r="H50" s="235"/>
      <c r="I50" s="6"/>
      <c r="J50" s="6"/>
      <c r="K50" s="6"/>
      <c r="L50" s="6"/>
      <c r="M50" s="6"/>
      <c r="N50" s="6"/>
      <c r="O50" s="6"/>
      <c r="Q50" s="205" t="s">
        <v>31</v>
      </c>
      <c r="R50" s="205"/>
      <c r="S50" s="205"/>
      <c r="T50" s="205"/>
      <c r="U50" s="205"/>
      <c r="V50" s="56" t="s">
        <v>113</v>
      </c>
      <c r="W50" s="147">
        <f>W49-W6</f>
        <v>0.9175004179388262</v>
      </c>
      <c r="X50" s="114" t="s">
        <v>29</v>
      </c>
      <c r="Y50" s="42"/>
      <c r="Z50" s="42" t="s">
        <v>122</v>
      </c>
      <c r="AA50" s="42"/>
      <c r="AB50" s="42"/>
      <c r="AC50" s="42"/>
      <c r="AD50" s="42"/>
      <c r="AE50" s="128"/>
      <c r="AF50" s="159">
        <f t="shared" si="7"/>
        <v>8</v>
      </c>
      <c r="AG50" s="158">
        <f t="shared" si="8"/>
        <v>12.738857858329585</v>
      </c>
      <c r="AH50" s="158">
        <f t="shared" si="9"/>
        <v>12</v>
      </c>
      <c r="AI50" s="167">
        <f t="shared" si="3"/>
        <v>0.29425589641671884</v>
      </c>
      <c r="AJ50" s="167">
        <f t="shared" si="10"/>
        <v>1.5480000000000001E-2</v>
      </c>
      <c r="AK50" s="158">
        <f t="shared" si="4"/>
        <v>10.745670528</v>
      </c>
      <c r="AL50" s="158">
        <f t="shared" si="11"/>
        <v>1.4637490800027031</v>
      </c>
      <c r="AM50" s="158">
        <f t="shared" si="12"/>
        <v>9.2819214479972967</v>
      </c>
      <c r="AN50" s="91"/>
      <c r="AO50" s="91"/>
      <c r="AP50" s="91"/>
      <c r="AQ50" s="91"/>
      <c r="AR50" s="91"/>
      <c r="AS50" s="79"/>
      <c r="AT50" s="72"/>
    </row>
    <row r="51" spans="1:46" ht="15.75" customHeight="1">
      <c r="A51" s="234">
        <f t="shared" si="5"/>
        <v>4.5</v>
      </c>
      <c r="B51" s="234"/>
      <c r="C51" s="170">
        <f t="shared" si="6"/>
        <v>3.6</v>
      </c>
      <c r="D51" s="170"/>
      <c r="E51" s="235">
        <f t="shared" si="1"/>
        <v>10.757013222166179</v>
      </c>
      <c r="F51" s="235"/>
      <c r="G51" s="235">
        <f t="shared" si="2"/>
        <v>0</v>
      </c>
      <c r="H51" s="235"/>
      <c r="I51" s="6"/>
      <c r="J51" s="6"/>
      <c r="K51" s="6"/>
      <c r="L51" s="6"/>
      <c r="M51" s="6"/>
      <c r="N51" s="6"/>
      <c r="O51" s="6"/>
      <c r="Q51" s="206" t="s">
        <v>22</v>
      </c>
      <c r="R51" s="206"/>
      <c r="S51" s="206"/>
      <c r="T51" s="206"/>
      <c r="U51" s="206"/>
      <c r="V51" s="18" t="s">
        <v>47</v>
      </c>
      <c r="W51" s="147">
        <f>W5/(W16*W17)</f>
        <v>0.11574074074074074</v>
      </c>
      <c r="X51" s="110" t="s">
        <v>6</v>
      </c>
      <c r="Y51" s="42"/>
      <c r="Z51" s="8" t="s">
        <v>116</v>
      </c>
      <c r="AA51" s="42"/>
      <c r="AB51" s="42"/>
      <c r="AC51" s="42"/>
      <c r="AD51" s="42"/>
      <c r="AE51" s="128"/>
      <c r="AF51" s="159">
        <f t="shared" si="7"/>
        <v>9</v>
      </c>
      <c r="AG51" s="158">
        <f t="shared" si="8"/>
        <v>13.441536418088118</v>
      </c>
      <c r="AH51" s="158">
        <f t="shared" si="9"/>
        <v>12</v>
      </c>
      <c r="AI51" s="167">
        <f t="shared" si="3"/>
        <v>0.29425589641671884</v>
      </c>
      <c r="AJ51" s="167">
        <f t="shared" si="10"/>
        <v>1.5480000000000001E-2</v>
      </c>
      <c r="AK51" s="158">
        <f t="shared" si="4"/>
        <v>10.745670528</v>
      </c>
      <c r="AL51" s="158">
        <f t="shared" si="11"/>
        <v>1.3865460393208053</v>
      </c>
      <c r="AM51" s="158">
        <f t="shared" si="12"/>
        <v>9.3591244886791944</v>
      </c>
      <c r="AN51" s="91"/>
      <c r="AO51" s="91"/>
      <c r="AP51" s="91"/>
      <c r="AQ51" s="91"/>
      <c r="AR51" s="91"/>
      <c r="AS51" s="79"/>
      <c r="AT51" s="72"/>
    </row>
    <row r="52" spans="1:46" ht="15.75" customHeight="1">
      <c r="A52" s="234">
        <f t="shared" si="5"/>
        <v>5</v>
      </c>
      <c r="B52" s="234"/>
      <c r="C52" s="170">
        <f t="shared" si="6"/>
        <v>4</v>
      </c>
      <c r="D52" s="170"/>
      <c r="E52" s="235">
        <f t="shared" si="1"/>
        <v>10.737432403744778</v>
      </c>
      <c r="F52" s="235"/>
      <c r="G52" s="235">
        <f t="shared" si="2"/>
        <v>8.2381242552216349E-3</v>
      </c>
      <c r="H52" s="235"/>
      <c r="I52" s="6"/>
      <c r="J52" s="6"/>
      <c r="K52" s="6"/>
      <c r="L52" s="6"/>
      <c r="M52" s="6"/>
      <c r="N52" s="6"/>
      <c r="O52" s="6"/>
      <c r="Q52" s="115" t="s">
        <v>125</v>
      </c>
      <c r="R52" s="115"/>
      <c r="S52" s="115"/>
      <c r="T52" s="115"/>
      <c r="U52" s="115"/>
      <c r="V52" s="18" t="s">
        <v>126</v>
      </c>
      <c r="W52" s="147">
        <f>2.664*W7</f>
        <v>0</v>
      </c>
      <c r="X52" s="110" t="s">
        <v>29</v>
      </c>
      <c r="Y52" s="42"/>
      <c r="Z52" s="8" t="s">
        <v>127</v>
      </c>
      <c r="AA52" s="42"/>
      <c r="AB52" s="42"/>
      <c r="AC52" s="42"/>
      <c r="AD52" s="42"/>
      <c r="AE52" s="128"/>
      <c r="AF52" s="159">
        <f t="shared" si="7"/>
        <v>10</v>
      </c>
      <c r="AG52" s="158">
        <f t="shared" si="8"/>
        <v>14.124196141168321</v>
      </c>
      <c r="AH52" s="158">
        <f t="shared" si="9"/>
        <v>12</v>
      </c>
      <c r="AI52" s="167">
        <f t="shared" si="3"/>
        <v>0.29425589641671884</v>
      </c>
      <c r="AJ52" s="167">
        <f t="shared" si="10"/>
        <v>1.5480000000000001E-2</v>
      </c>
      <c r="AK52" s="158">
        <f t="shared" si="4"/>
        <v>10.745670528</v>
      </c>
      <c r="AL52" s="158">
        <f t="shared" si="11"/>
        <v>1.3390125487165605</v>
      </c>
      <c r="AM52" s="158">
        <f t="shared" si="12"/>
        <v>9.4066579792834393</v>
      </c>
      <c r="AN52" s="91"/>
      <c r="AO52" s="91"/>
      <c r="AP52" s="91"/>
      <c r="AQ52" s="91"/>
      <c r="AR52" s="91"/>
      <c r="AS52" s="79"/>
      <c r="AT52" s="72"/>
    </row>
    <row r="53" spans="1:46" ht="15.75" customHeight="1">
      <c r="A53" s="234">
        <f t="shared" si="5"/>
        <v>5.5</v>
      </c>
      <c r="B53" s="234"/>
      <c r="C53" s="170">
        <f t="shared" si="6"/>
        <v>4.4000000000000004</v>
      </c>
      <c r="D53" s="170"/>
      <c r="E53" s="235">
        <f t="shared" si="1"/>
        <v>10.714594169615594</v>
      </c>
      <c r="F53" s="235"/>
      <c r="G53" s="235">
        <f t="shared" si="2"/>
        <v>3.1076358384405367E-2</v>
      </c>
      <c r="H53" s="235"/>
      <c r="I53" s="6"/>
      <c r="J53" s="6"/>
      <c r="K53" s="6"/>
      <c r="L53" s="6"/>
      <c r="M53" s="6"/>
      <c r="N53" s="6"/>
      <c r="O53" s="6"/>
      <c r="Q53" s="42"/>
      <c r="R53" s="42"/>
      <c r="S53" s="42"/>
      <c r="T53" s="42"/>
      <c r="U53" s="42"/>
      <c r="V53" s="42"/>
      <c r="W53" s="42"/>
      <c r="X53" s="42"/>
      <c r="Y53" s="42"/>
      <c r="Z53" s="42"/>
      <c r="AA53" s="42"/>
      <c r="AB53" s="42"/>
      <c r="AC53" s="42"/>
      <c r="AD53" s="42"/>
      <c r="AE53" s="134"/>
      <c r="AF53" s="159">
        <f t="shared" si="7"/>
        <v>11</v>
      </c>
      <c r="AG53" s="158">
        <f t="shared" si="8"/>
        <v>14.787407350680793</v>
      </c>
      <c r="AH53" s="158">
        <f t="shared" si="9"/>
        <v>12</v>
      </c>
      <c r="AI53" s="167">
        <f t="shared" si="3"/>
        <v>0.29425589641671884</v>
      </c>
      <c r="AJ53" s="167">
        <f t="shared" si="10"/>
        <v>1.5480000000000001E-2</v>
      </c>
      <c r="AK53" s="158">
        <f t="shared" si="4"/>
        <v>10.745670528</v>
      </c>
      <c r="AL53" s="158">
        <f t="shared" si="11"/>
        <v>1.3130279264552591</v>
      </c>
      <c r="AM53" s="158">
        <f t="shared" si="12"/>
        <v>9.4326426015447407</v>
      </c>
      <c r="AN53" s="91"/>
      <c r="AO53" s="91"/>
      <c r="AP53" s="91"/>
      <c r="AQ53" s="91"/>
      <c r="AR53" s="91"/>
      <c r="AS53" s="79"/>
      <c r="AT53" s="72"/>
    </row>
    <row r="54" spans="1:46" ht="15.75" customHeight="1">
      <c r="A54" s="234">
        <f t="shared" si="5"/>
        <v>6</v>
      </c>
      <c r="B54" s="234"/>
      <c r="C54" s="170">
        <f t="shared" si="6"/>
        <v>4.8</v>
      </c>
      <c r="D54" s="170"/>
      <c r="E54" s="235">
        <f t="shared" si="1"/>
        <v>10.688706993947701</v>
      </c>
      <c r="F54" s="235"/>
      <c r="G54" s="235">
        <f t="shared" si="2"/>
        <v>5.6963534052298925E-2</v>
      </c>
      <c r="H54" s="235"/>
      <c r="I54" s="6"/>
      <c r="J54" s="6"/>
      <c r="K54" s="6"/>
      <c r="L54" s="6"/>
      <c r="M54" s="6"/>
      <c r="N54" s="6"/>
      <c r="O54" s="6"/>
      <c r="Q54" s="179" t="s">
        <v>131</v>
      </c>
      <c r="R54" s="179"/>
      <c r="S54" s="179"/>
      <c r="T54" s="179"/>
      <c r="U54" s="179"/>
      <c r="V54" s="179"/>
      <c r="W54" s="179"/>
      <c r="X54" s="179"/>
      <c r="Y54" s="6"/>
      <c r="Z54" s="6"/>
      <c r="AA54" s="6"/>
      <c r="AB54" s="6"/>
      <c r="AC54" s="53"/>
      <c r="AD54" s="53"/>
      <c r="AE54" s="134"/>
      <c r="AF54" s="159">
        <f t="shared" si="7"/>
        <v>12</v>
      </c>
      <c r="AG54" s="158">
        <f t="shared" si="8"/>
        <v>15.431724121616641</v>
      </c>
      <c r="AH54" s="158">
        <f t="shared" si="9"/>
        <v>12</v>
      </c>
      <c r="AI54" s="167">
        <f t="shared" si="3"/>
        <v>0.29425589641671884</v>
      </c>
      <c r="AJ54" s="167">
        <f t="shared" si="10"/>
        <v>1.5480000000000001E-2</v>
      </c>
      <c r="AK54" s="158">
        <f t="shared" si="4"/>
        <v>10.745670528</v>
      </c>
      <c r="AL54" s="158">
        <f t="shared" si="11"/>
        <v>1.3026297279054848</v>
      </c>
      <c r="AM54" s="158">
        <f t="shared" si="12"/>
        <v>9.443040800094515</v>
      </c>
      <c r="AN54" s="91"/>
      <c r="AO54" s="91"/>
      <c r="AP54" s="91"/>
      <c r="AQ54" s="91"/>
      <c r="AR54" s="91"/>
      <c r="AS54" s="79"/>
      <c r="AT54" s="72"/>
    </row>
    <row r="55" spans="1:46" ht="15.75" customHeight="1">
      <c r="A55" s="234">
        <f t="shared" si="5"/>
        <v>6.5</v>
      </c>
      <c r="B55" s="234"/>
      <c r="C55" s="170">
        <f t="shared" si="6"/>
        <v>5.2</v>
      </c>
      <c r="D55" s="170"/>
      <c r="E55" s="235">
        <f t="shared" si="1"/>
        <v>10.659967879479701</v>
      </c>
      <c r="F55" s="235"/>
      <c r="G55" s="235">
        <f t="shared" si="2"/>
        <v>8.5702648520298297E-2</v>
      </c>
      <c r="H55" s="235"/>
      <c r="I55" s="6"/>
      <c r="J55" s="6"/>
      <c r="K55" s="6"/>
      <c r="L55" s="6"/>
      <c r="M55" s="6"/>
      <c r="N55" s="6"/>
      <c r="O55" s="6"/>
      <c r="Q55" s="227" t="s">
        <v>133</v>
      </c>
      <c r="R55" s="227"/>
      <c r="S55" s="227"/>
      <c r="T55" s="227"/>
      <c r="U55" s="227"/>
      <c r="V55" s="14" t="s">
        <v>134</v>
      </c>
      <c r="W55" s="120">
        <f>W49</f>
        <v>1.9175004179388262</v>
      </c>
      <c r="X55" s="112" t="s">
        <v>29</v>
      </c>
      <c r="Y55" s="6"/>
      <c r="Z55" s="6"/>
      <c r="AA55" s="6"/>
      <c r="AB55" s="6"/>
      <c r="AC55" s="53"/>
      <c r="AD55" s="53"/>
      <c r="AE55" s="134"/>
      <c r="AF55" s="159">
        <f t="shared" si="7"/>
        <v>13</v>
      </c>
      <c r="AG55" s="158">
        <f t="shared" si="8"/>
        <v>16.057684743745405</v>
      </c>
      <c r="AH55" s="158">
        <f t="shared" si="9"/>
        <v>12</v>
      </c>
      <c r="AI55" s="167">
        <f t="shared" si="3"/>
        <v>0.29425589641671884</v>
      </c>
      <c r="AJ55" s="167">
        <f t="shared" si="10"/>
        <v>1.5480000000000001E-2</v>
      </c>
      <c r="AK55" s="158">
        <f t="shared" si="4"/>
        <v>10.745670528</v>
      </c>
      <c r="AL55" s="158">
        <f t="shared" si="11"/>
        <v>1.3034419260504766</v>
      </c>
      <c r="AM55" s="158">
        <f t="shared" si="12"/>
        <v>9.4422286019495232</v>
      </c>
      <c r="AN55" s="91"/>
      <c r="AO55" s="91"/>
      <c r="AP55" s="91"/>
      <c r="AQ55" s="91"/>
      <c r="AR55" s="91"/>
      <c r="AS55" s="79"/>
      <c r="AT55" s="72"/>
    </row>
    <row r="56" spans="1:46" ht="15.75" customHeight="1">
      <c r="A56" s="234">
        <f t="shared" si="5"/>
        <v>7</v>
      </c>
      <c r="B56" s="234"/>
      <c r="C56" s="170">
        <f t="shared" si="6"/>
        <v>5.6</v>
      </c>
      <c r="D56" s="170"/>
      <c r="E56" s="235">
        <f t="shared" si="1"/>
        <v>10.628562976617793</v>
      </c>
      <c r="F56" s="235"/>
      <c r="G56" s="235">
        <f t="shared" si="2"/>
        <v>0.11710755138220641</v>
      </c>
      <c r="H56" s="235"/>
      <c r="I56" s="6"/>
      <c r="J56" s="6"/>
      <c r="K56" s="6"/>
      <c r="L56" s="6"/>
      <c r="M56" s="6"/>
      <c r="N56" s="6"/>
      <c r="O56" s="6"/>
      <c r="Q56" s="210" t="s">
        <v>27</v>
      </c>
      <c r="R56" s="210"/>
      <c r="S56" s="210"/>
      <c r="T56" s="210"/>
      <c r="U56" s="210"/>
      <c r="V56" s="14" t="s">
        <v>225</v>
      </c>
      <c r="W56" s="120">
        <f>MIN(W60:W100)</f>
        <v>1.9175004179388262</v>
      </c>
      <c r="X56" s="106" t="s">
        <v>29</v>
      </c>
      <c r="Y56" s="6"/>
      <c r="Z56" s="6"/>
      <c r="AA56" s="6"/>
      <c r="AB56" s="6"/>
      <c r="AC56" s="62"/>
      <c r="AD56" s="44"/>
      <c r="AE56" s="134"/>
      <c r="AF56" s="159">
        <f t="shared" si="7"/>
        <v>14</v>
      </c>
      <c r="AG56" s="158">
        <f t="shared" si="8"/>
        <v>16.665812171325349</v>
      </c>
      <c r="AH56" s="158">
        <f t="shared" si="9"/>
        <v>12</v>
      </c>
      <c r="AI56" s="167">
        <f t="shared" si="3"/>
        <v>0.29425589641671884</v>
      </c>
      <c r="AJ56" s="167">
        <f t="shared" si="10"/>
        <v>1.5480000000000001E-2</v>
      </c>
      <c r="AK56" s="158">
        <f t="shared" si="4"/>
        <v>10.745670528</v>
      </c>
      <c r="AL56" s="158">
        <f t="shared" si="11"/>
        <v>1.3122545437088444</v>
      </c>
      <c r="AM56" s="158">
        <f t="shared" si="12"/>
        <v>9.4334159842911554</v>
      </c>
      <c r="AN56" s="91"/>
      <c r="AO56" s="91"/>
      <c r="AP56" s="91"/>
      <c r="AQ56" s="91"/>
      <c r="AR56" s="91"/>
      <c r="AS56" s="79"/>
      <c r="AT56" s="72"/>
    </row>
    <row r="57" spans="1:46" ht="15.75" customHeight="1">
      <c r="A57" s="234">
        <f t="shared" si="5"/>
        <v>7.5</v>
      </c>
      <c r="B57" s="234"/>
      <c r="C57" s="170">
        <f t="shared" si="6"/>
        <v>6</v>
      </c>
      <c r="D57" s="170"/>
      <c r="E57" s="235">
        <f t="shared" si="1"/>
        <v>10.594668169213328</v>
      </c>
      <c r="F57" s="235"/>
      <c r="G57" s="235">
        <f t="shared" si="2"/>
        <v>0.15100235878667156</v>
      </c>
      <c r="H57" s="235"/>
      <c r="I57" s="6"/>
      <c r="J57" s="6"/>
      <c r="K57" s="6"/>
      <c r="L57" s="6"/>
      <c r="M57" s="6"/>
      <c r="N57" s="6"/>
      <c r="O57" s="6"/>
      <c r="Q57" s="8"/>
      <c r="R57" s="8"/>
      <c r="S57" s="8"/>
      <c r="T57" s="8"/>
      <c r="U57" s="8"/>
      <c r="V57" s="8"/>
      <c r="W57" s="8"/>
      <c r="X57" s="8"/>
      <c r="Y57" s="8"/>
      <c r="Z57" s="13"/>
      <c r="AA57" s="15"/>
      <c r="AB57" s="8"/>
      <c r="AC57" s="6"/>
      <c r="AD57" s="6"/>
      <c r="AE57" s="134"/>
      <c r="AF57" s="159">
        <f t="shared" si="7"/>
        <v>15</v>
      </c>
      <c r="AG57" s="158">
        <f t="shared" si="8"/>
        <v>16.409811952704505</v>
      </c>
      <c r="AH57" s="158">
        <f t="shared" si="9"/>
        <v>12</v>
      </c>
      <c r="AI57" s="167">
        <f t="shared" si="3"/>
        <v>0.29425589641671884</v>
      </c>
      <c r="AJ57" s="167">
        <f t="shared" si="10"/>
        <v>1.5480000000000001E-2</v>
      </c>
      <c r="AK57" s="158">
        <f t="shared" si="4"/>
        <v>10.745670528</v>
      </c>
      <c r="AL57" s="158">
        <f t="shared" si="11"/>
        <v>1.199431437635436</v>
      </c>
      <c r="AM57" s="158">
        <f t="shared" si="12"/>
        <v>9.5462390903645638</v>
      </c>
      <c r="AN57" s="91"/>
      <c r="AO57" s="91"/>
      <c r="AP57" s="91"/>
      <c r="AQ57" s="91"/>
      <c r="AR57" s="91"/>
      <c r="AS57" s="79"/>
      <c r="AT57" s="72"/>
    </row>
    <row r="58" spans="1:46" ht="15.75" customHeight="1">
      <c r="A58" s="234">
        <f t="shared" si="5"/>
        <v>8</v>
      </c>
      <c r="B58" s="234"/>
      <c r="C58" s="170">
        <f t="shared" si="6"/>
        <v>6.4</v>
      </c>
      <c r="D58" s="170"/>
      <c r="E58" s="235">
        <f t="shared" si="1"/>
        <v>10.558449628812493</v>
      </c>
      <c r="F58" s="235"/>
      <c r="G58" s="235">
        <f t="shared" si="2"/>
        <v>0.18722089918750662</v>
      </c>
      <c r="H58" s="235"/>
      <c r="I58" s="6"/>
      <c r="J58" s="6"/>
      <c r="K58" s="6"/>
      <c r="L58" s="6"/>
      <c r="M58" s="6"/>
      <c r="N58" s="6"/>
      <c r="O58" s="6"/>
      <c r="Q58" s="203" t="s">
        <v>11</v>
      </c>
      <c r="R58" s="203"/>
      <c r="S58" s="203" t="s">
        <v>12</v>
      </c>
      <c r="T58" s="203"/>
      <c r="U58" s="203" t="s">
        <v>87</v>
      </c>
      <c r="V58" s="203"/>
      <c r="W58" s="203" t="s">
        <v>89</v>
      </c>
      <c r="X58" s="203"/>
      <c r="Y58" s="42"/>
      <c r="Z58" s="70"/>
      <c r="AA58" s="60"/>
      <c r="AB58" s="70"/>
      <c r="AC58" s="6"/>
      <c r="AD58" s="6"/>
      <c r="AE58" s="133"/>
      <c r="AF58" s="159">
        <f t="shared" si="7"/>
        <v>16</v>
      </c>
      <c r="AG58" s="158">
        <f t="shared" si="8"/>
        <v>16.157744102411122</v>
      </c>
      <c r="AH58" s="158">
        <f t="shared" si="9"/>
        <v>12</v>
      </c>
      <c r="AI58" s="167">
        <f t="shared" si="3"/>
        <v>0.29425589641671884</v>
      </c>
      <c r="AJ58" s="167">
        <f t="shared" si="10"/>
        <v>1.5480000000000001E-2</v>
      </c>
      <c r="AK58" s="158">
        <f t="shared" si="4"/>
        <v>10.745670528</v>
      </c>
      <c r="AL58" s="158">
        <f t="shared" si="11"/>
        <v>1.1119632193979641</v>
      </c>
      <c r="AM58" s="158">
        <f t="shared" si="12"/>
        <v>9.6337073086020357</v>
      </c>
      <c r="AN58" s="91"/>
      <c r="AO58" s="91"/>
      <c r="AP58" s="91"/>
      <c r="AQ58" s="91"/>
      <c r="AR58" s="91"/>
      <c r="AS58" s="79"/>
      <c r="AT58" s="72"/>
    </row>
    <row r="59" spans="1:46" ht="15.75" customHeight="1">
      <c r="A59" s="234">
        <f t="shared" si="5"/>
        <v>8.5</v>
      </c>
      <c r="B59" s="234"/>
      <c r="C59" s="170">
        <f t="shared" si="6"/>
        <v>6.8</v>
      </c>
      <c r="D59" s="170"/>
      <c r="E59" s="235">
        <f t="shared" si="1"/>
        <v>10.520064339074336</v>
      </c>
      <c r="F59" s="235"/>
      <c r="G59" s="235">
        <f t="shared" si="2"/>
        <v>0.22560618892566353</v>
      </c>
      <c r="H59" s="235"/>
      <c r="I59" s="6"/>
      <c r="J59" s="6"/>
      <c r="K59" s="6"/>
      <c r="L59" s="6"/>
      <c r="M59" s="6"/>
      <c r="N59" s="6"/>
      <c r="O59" s="6"/>
      <c r="Q59" s="203" t="s">
        <v>21</v>
      </c>
      <c r="R59" s="203"/>
      <c r="S59" s="203" t="s">
        <v>20</v>
      </c>
      <c r="T59" s="203"/>
      <c r="U59" s="203" t="s">
        <v>86</v>
      </c>
      <c r="V59" s="203"/>
      <c r="W59" s="203" t="s">
        <v>88</v>
      </c>
      <c r="X59" s="203"/>
      <c r="Y59" s="42"/>
      <c r="Z59" s="70"/>
      <c r="AA59" s="60"/>
      <c r="AB59" s="70"/>
      <c r="AC59" s="6"/>
      <c r="AD59" s="6"/>
      <c r="AE59" s="135"/>
      <c r="AF59" s="159">
        <f t="shared" si="7"/>
        <v>17</v>
      </c>
      <c r="AG59" s="158">
        <f t="shared" si="8"/>
        <v>15.909548216119195</v>
      </c>
      <c r="AH59" s="158">
        <f t="shared" si="9"/>
        <v>12</v>
      </c>
      <c r="AI59" s="167">
        <f t="shared" si="3"/>
        <v>0.29425589641671884</v>
      </c>
      <c r="AJ59" s="167">
        <f t="shared" si="10"/>
        <v>1.5480000000000001E-2</v>
      </c>
      <c r="AK59" s="158">
        <f t="shared" si="4"/>
        <v>10.745670528</v>
      </c>
      <c r="AL59" s="158">
        <f t="shared" si="11"/>
        <v>1.0434388766040037</v>
      </c>
      <c r="AM59" s="158">
        <f t="shared" si="12"/>
        <v>9.7022316513959961</v>
      </c>
      <c r="AN59" s="91"/>
      <c r="AO59" s="91"/>
      <c r="AP59" s="91"/>
      <c r="AQ59" s="91"/>
      <c r="AR59" s="91"/>
      <c r="AS59" s="79"/>
      <c r="AT59" s="72"/>
    </row>
    <row r="60" spans="1:46" ht="15.75" customHeight="1">
      <c r="A60" s="234">
        <f t="shared" si="5"/>
        <v>9</v>
      </c>
      <c r="B60" s="234"/>
      <c r="C60" s="170">
        <f t="shared" si="6"/>
        <v>7.2</v>
      </c>
      <c r="D60" s="170"/>
      <c r="E60" s="235">
        <f t="shared" si="1"/>
        <v>10.479660591962066</v>
      </c>
      <c r="F60" s="235"/>
      <c r="G60" s="235">
        <f t="shared" si="2"/>
        <v>0.26600993603793377</v>
      </c>
      <c r="H60" s="235"/>
      <c r="I60" s="6"/>
      <c r="J60" s="6"/>
      <c r="K60" s="6"/>
      <c r="L60" s="6"/>
      <c r="M60" s="6"/>
      <c r="N60" s="6"/>
      <c r="O60" s="6"/>
      <c r="Q60" s="230">
        <v>0</v>
      </c>
      <c r="R60" s="230"/>
      <c r="S60" s="209">
        <f>+Q60*86400*$G$53/1000</f>
        <v>0</v>
      </c>
      <c r="T60" s="209"/>
      <c r="U60" s="231">
        <f>+$W$48*EXP(-$W$41*Q60)+($W$39*$W$52/($W$41-$W$39))*(EXP(-$W$39*Q60)-EXP(-$W$41*Q60))</f>
        <v>5.953172940061175</v>
      </c>
      <c r="V60" s="231"/>
      <c r="W60" s="231">
        <f>+$W$45-U60</f>
        <v>1.9175004179388262</v>
      </c>
      <c r="X60" s="231"/>
      <c r="Y60" s="42"/>
      <c r="Z60" s="71"/>
      <c r="AA60" s="60"/>
      <c r="AB60" s="72"/>
      <c r="AC60" s="6"/>
      <c r="AD60" s="6"/>
      <c r="AE60" s="135"/>
      <c r="AF60" s="159">
        <f t="shared" si="7"/>
        <v>18</v>
      </c>
      <c r="AG60" s="158">
        <f t="shared" si="8"/>
        <v>15.665164817361529</v>
      </c>
      <c r="AH60" s="158">
        <f t="shared" si="9"/>
        <v>12</v>
      </c>
      <c r="AI60" s="167">
        <f t="shared" si="3"/>
        <v>0.29425589641671884</v>
      </c>
      <c r="AJ60" s="167">
        <f t="shared" si="10"/>
        <v>1.5480000000000001E-2</v>
      </c>
      <c r="AK60" s="158">
        <f t="shared" si="4"/>
        <v>10.745670528</v>
      </c>
      <c r="AL60" s="158">
        <f t="shared" si="11"/>
        <v>0.9890808514414271</v>
      </c>
      <c r="AM60" s="158">
        <f t="shared" si="12"/>
        <v>9.7565896765585727</v>
      </c>
      <c r="AN60" s="91"/>
      <c r="AO60" s="91"/>
      <c r="AP60" s="91"/>
      <c r="AQ60" s="91"/>
      <c r="AR60" s="91"/>
      <c r="AS60" s="79"/>
      <c r="AT60" s="72"/>
    </row>
    <row r="61" spans="1:46" ht="15.75" customHeight="1">
      <c r="A61" s="234">
        <f t="shared" si="5"/>
        <v>9.5</v>
      </c>
      <c r="B61" s="234"/>
      <c r="C61" s="170">
        <f t="shared" si="6"/>
        <v>7.6</v>
      </c>
      <c r="D61" s="170"/>
      <c r="E61" s="235">
        <f t="shared" si="1"/>
        <v>10.437378457226252</v>
      </c>
      <c r="F61" s="235"/>
      <c r="G61" s="235">
        <f t="shared" si="2"/>
        <v>0.30829207077374754</v>
      </c>
      <c r="H61" s="235"/>
      <c r="I61" s="6"/>
      <c r="J61" s="6"/>
      <c r="K61" s="6"/>
      <c r="L61" s="6"/>
      <c r="M61" s="6"/>
      <c r="N61" s="6"/>
      <c r="O61" s="6"/>
      <c r="Q61" s="230">
        <f>+Q60+$W$42</f>
        <v>0.5</v>
      </c>
      <c r="R61" s="230"/>
      <c r="S61" s="209">
        <f>+Q61*86400*$W$51/1000</f>
        <v>5</v>
      </c>
      <c r="T61" s="209"/>
      <c r="U61" s="231">
        <f t="shared" ref="U61:U100" si="13">+$W$48*EXP(-$W$41*Q61)+($W$39*$W$52/($W$41-$W$39))*(EXP(-$W$39*Q61)-EXP(-$W$41*Q61))</f>
        <v>4.5036503149855935</v>
      </c>
      <c r="V61" s="231"/>
      <c r="W61" s="231">
        <f t="shared" ref="W61:W100" si="14">+$W$45-U61</f>
        <v>3.3670230430144077</v>
      </c>
      <c r="X61" s="231"/>
      <c r="Y61" s="42"/>
      <c r="Z61" s="6" t="s">
        <v>186</v>
      </c>
      <c r="AA61" s="60"/>
      <c r="AB61" s="72"/>
      <c r="AC61" s="6"/>
      <c r="AD61" s="6"/>
      <c r="AE61" s="135"/>
      <c r="AF61" s="159">
        <f t="shared" si="7"/>
        <v>19</v>
      </c>
      <c r="AG61" s="158">
        <f t="shared" si="8"/>
        <v>15.424535343277087</v>
      </c>
      <c r="AH61" s="158">
        <f t="shared" si="9"/>
        <v>12</v>
      </c>
      <c r="AI61" s="167">
        <f t="shared" si="3"/>
        <v>0.29425589641671884</v>
      </c>
      <c r="AJ61" s="167">
        <f t="shared" si="10"/>
        <v>1.5480000000000001E-2</v>
      </c>
      <c r="AK61" s="158">
        <f t="shared" si="4"/>
        <v>10.745670528</v>
      </c>
      <c r="AL61" s="158">
        <f t="shared" si="11"/>
        <v>0.94532866225692835</v>
      </c>
      <c r="AM61" s="158">
        <f t="shared" si="12"/>
        <v>9.8003418657430714</v>
      </c>
      <c r="AN61" s="91"/>
      <c r="AO61" s="91"/>
      <c r="AP61" s="91"/>
      <c r="AQ61" s="91"/>
      <c r="AR61" s="91"/>
      <c r="AS61" s="79"/>
      <c r="AT61" s="72"/>
    </row>
    <row r="62" spans="1:46" ht="15.75" customHeight="1">
      <c r="A62" s="234">
        <f t="shared" si="5"/>
        <v>10</v>
      </c>
      <c r="B62" s="234"/>
      <c r="C62" s="170">
        <f t="shared" si="6"/>
        <v>8</v>
      </c>
      <c r="D62" s="170"/>
      <c r="E62" s="235">
        <f t="shared" si="1"/>
        <v>10.39335022661685</v>
      </c>
      <c r="F62" s="235"/>
      <c r="G62" s="235">
        <f t="shared" si="2"/>
        <v>0.35232030138315018</v>
      </c>
      <c r="H62" s="235"/>
      <c r="I62" s="6"/>
      <c r="J62" s="6"/>
      <c r="K62" s="6"/>
      <c r="L62" s="6"/>
      <c r="M62" s="6"/>
      <c r="N62" s="6"/>
      <c r="O62" s="6"/>
      <c r="Q62" s="230">
        <f t="shared" ref="Q62:Q100" si="15">+Q61+$W$42</f>
        <v>1</v>
      </c>
      <c r="R62" s="230"/>
      <c r="S62" s="209">
        <f t="shared" ref="S62:S100" si="16">+Q62*86400*$W$51/1000</f>
        <v>10</v>
      </c>
      <c r="T62" s="209"/>
      <c r="U62" s="231">
        <f t="shared" si="13"/>
        <v>3.4070681910109957</v>
      </c>
      <c r="V62" s="231"/>
      <c r="W62" s="231">
        <f t="shared" si="14"/>
        <v>4.4636051669890051</v>
      </c>
      <c r="X62" s="231"/>
      <c r="Y62" s="42"/>
      <c r="Z62" s="71"/>
      <c r="AA62" s="60"/>
      <c r="AB62" s="72"/>
      <c r="AC62" s="6"/>
      <c r="AD62" s="6"/>
      <c r="AE62" s="135"/>
      <c r="AF62" s="159">
        <f t="shared" si="7"/>
        <v>20</v>
      </c>
      <c r="AG62" s="158">
        <f t="shared" si="8"/>
        <v>15.187602130577268</v>
      </c>
      <c r="AH62" s="158">
        <f t="shared" si="9"/>
        <v>12</v>
      </c>
      <c r="AI62" s="167">
        <f t="shared" si="3"/>
        <v>0.29425589641671884</v>
      </c>
      <c r="AJ62" s="167">
        <f t="shared" si="10"/>
        <v>1.5480000000000001E-2</v>
      </c>
      <c r="AK62" s="158">
        <f t="shared" si="4"/>
        <v>10.745670528</v>
      </c>
      <c r="AL62" s="158">
        <f t="shared" si="11"/>
        <v>0.9095286657162287</v>
      </c>
      <c r="AM62" s="158">
        <f t="shared" si="12"/>
        <v>9.8361418622837711</v>
      </c>
      <c r="AN62" s="91"/>
      <c r="AO62" s="91"/>
      <c r="AP62" s="91"/>
      <c r="AQ62" s="91"/>
      <c r="AR62" s="91"/>
      <c r="AS62" s="79"/>
      <c r="AT62" s="72"/>
    </row>
    <row r="63" spans="1:46" ht="15.75" customHeight="1">
      <c r="A63" s="234">
        <f t="shared" si="5"/>
        <v>10.5</v>
      </c>
      <c r="B63" s="234"/>
      <c r="C63" s="170">
        <f t="shared" si="6"/>
        <v>8.4</v>
      </c>
      <c r="D63" s="170"/>
      <c r="E63" s="235">
        <f t="shared" si="1"/>
        <v>10.347700834183627</v>
      </c>
      <c r="F63" s="235"/>
      <c r="G63" s="235">
        <f t="shared" si="2"/>
        <v>0.39796969381637304</v>
      </c>
      <c r="H63" s="235"/>
      <c r="I63" s="6"/>
      <c r="J63" s="6"/>
      <c r="K63" s="6"/>
      <c r="L63" s="6"/>
      <c r="M63" s="6"/>
      <c r="N63" s="6"/>
      <c r="O63" s="6"/>
      <c r="Q63" s="230">
        <f t="shared" si="15"/>
        <v>1.5</v>
      </c>
      <c r="R63" s="230"/>
      <c r="S63" s="209">
        <f t="shared" si="16"/>
        <v>15</v>
      </c>
      <c r="T63" s="209"/>
      <c r="U63" s="231">
        <f t="shared" si="13"/>
        <v>2.5774900017378615</v>
      </c>
      <c r="V63" s="231"/>
      <c r="W63" s="231">
        <f t="shared" si="14"/>
        <v>5.2931833562621398</v>
      </c>
      <c r="X63" s="231"/>
      <c r="Y63" s="42"/>
      <c r="Z63" t="s">
        <v>83</v>
      </c>
      <c r="AA63" s="60"/>
      <c r="AB63" s="72"/>
      <c r="AC63" s="6"/>
      <c r="AD63" s="42"/>
      <c r="AE63" s="135"/>
      <c r="AF63" s="159">
        <f t="shared" si="7"/>
        <v>21</v>
      </c>
      <c r="AG63" s="158">
        <f t="shared" si="8"/>
        <v>14.954308401727751</v>
      </c>
      <c r="AH63" s="158">
        <f t="shared" si="9"/>
        <v>12</v>
      </c>
      <c r="AI63" s="167">
        <f t="shared" si="3"/>
        <v>0.29425589641671884</v>
      </c>
      <c r="AJ63" s="167">
        <f t="shared" si="10"/>
        <v>1.5480000000000001E-2</v>
      </c>
      <c r="AK63" s="158">
        <f t="shared" si="4"/>
        <v>10.745670528</v>
      </c>
      <c r="AL63" s="158">
        <f t="shared" si="11"/>
        <v>0.87970290280764374</v>
      </c>
      <c r="AM63" s="158">
        <f t="shared" si="12"/>
        <v>9.865967625192356</v>
      </c>
      <c r="AN63" s="91"/>
      <c r="AO63" s="91"/>
      <c r="AP63" s="91"/>
      <c r="AQ63" s="91"/>
      <c r="AR63" s="91"/>
      <c r="AS63" s="79"/>
      <c r="AT63" s="72"/>
    </row>
    <row r="64" spans="1:46" ht="15.75" customHeight="1">
      <c r="A64" s="234">
        <f t="shared" si="5"/>
        <v>11</v>
      </c>
      <c r="B64" s="234"/>
      <c r="C64" s="170">
        <f t="shared" si="6"/>
        <v>8.8000000000000007</v>
      </c>
      <c r="D64" s="170"/>
      <c r="E64" s="235">
        <f t="shared" si="1"/>
        <v>10.300548253951519</v>
      </c>
      <c r="F64" s="235"/>
      <c r="G64" s="235">
        <f t="shared" si="2"/>
        <v>0.44512227404848126</v>
      </c>
      <c r="H64" s="235"/>
      <c r="I64" s="6"/>
      <c r="J64" s="6"/>
      <c r="K64" s="6"/>
      <c r="L64" s="6"/>
      <c r="M64" s="6"/>
      <c r="N64" s="6"/>
      <c r="O64" s="6"/>
      <c r="Q64" s="230">
        <f t="shared" si="15"/>
        <v>2</v>
      </c>
      <c r="R64" s="230"/>
      <c r="S64" s="209">
        <f t="shared" si="16"/>
        <v>20</v>
      </c>
      <c r="T64" s="209"/>
      <c r="U64" s="231">
        <f t="shared" si="13"/>
        <v>1.9499036522328299</v>
      </c>
      <c r="V64" s="231"/>
      <c r="W64" s="231">
        <f t="shared" si="14"/>
        <v>5.9207697057671709</v>
      </c>
      <c r="X64" s="231"/>
      <c r="Y64" s="42"/>
      <c r="Z64" s="71"/>
      <c r="AA64" s="60"/>
      <c r="AB64" s="72"/>
      <c r="AC64" s="6"/>
      <c r="AD64" s="6"/>
      <c r="AE64" s="135"/>
      <c r="AF64" s="159">
        <f t="shared" si="7"/>
        <v>22</v>
      </c>
      <c r="AG64" s="158">
        <f t="shared" si="8"/>
        <v>14.7245982513426</v>
      </c>
      <c r="AH64" s="158">
        <f t="shared" si="9"/>
        <v>12</v>
      </c>
      <c r="AI64" s="167">
        <f t="shared" si="3"/>
        <v>0.29425589641671884</v>
      </c>
      <c r="AJ64" s="167">
        <f t="shared" si="10"/>
        <v>1.5480000000000001E-2</v>
      </c>
      <c r="AK64" s="158">
        <f t="shared" si="4"/>
        <v>10.745670528</v>
      </c>
      <c r="AL64" s="158">
        <f t="shared" si="11"/>
        <v>0.85437686909739874</v>
      </c>
      <c r="AM64" s="158">
        <f t="shared" si="12"/>
        <v>9.891293658902601</v>
      </c>
      <c r="AN64" s="91"/>
      <c r="AO64" s="91"/>
      <c r="AP64" s="91"/>
      <c r="AQ64" s="91"/>
      <c r="AR64" s="91"/>
      <c r="AS64" s="79"/>
      <c r="AT64" s="72"/>
    </row>
    <row r="65" spans="1:46" ht="15.75" customHeight="1">
      <c r="A65" s="234">
        <f t="shared" si="5"/>
        <v>11.5</v>
      </c>
      <c r="B65" s="234"/>
      <c r="C65" s="170">
        <f t="shared" si="6"/>
        <v>9.1999999999999993</v>
      </c>
      <c r="D65" s="170"/>
      <c r="E65" s="235">
        <f t="shared" si="1"/>
        <v>10.252003876188118</v>
      </c>
      <c r="F65" s="235"/>
      <c r="G65" s="235">
        <f t="shared" si="2"/>
        <v>0.49366665181188196</v>
      </c>
      <c r="H65" s="235"/>
      <c r="I65" s="6"/>
      <c r="J65" s="6"/>
      <c r="K65" s="6"/>
      <c r="L65" s="6"/>
      <c r="M65" s="6"/>
      <c r="N65" s="6"/>
      <c r="O65" s="6"/>
      <c r="Q65" s="230">
        <f t="shared" si="15"/>
        <v>2.5</v>
      </c>
      <c r="R65" s="230"/>
      <c r="S65" s="209">
        <f t="shared" si="16"/>
        <v>25</v>
      </c>
      <c r="T65" s="209"/>
      <c r="U65" s="231">
        <f t="shared" si="13"/>
        <v>1.4751266737901458</v>
      </c>
      <c r="V65" s="231"/>
      <c r="W65" s="231">
        <f t="shared" si="14"/>
        <v>6.3955466842098554</v>
      </c>
      <c r="X65" s="231"/>
      <c r="Y65" s="42"/>
      <c r="Z65" s="71"/>
      <c r="AA65" s="60"/>
      <c r="AB65" s="72"/>
      <c r="AC65" s="6"/>
      <c r="AD65" s="6"/>
      <c r="AE65" s="135"/>
      <c r="AF65" s="159">
        <f t="shared" si="7"/>
        <v>23</v>
      </c>
      <c r="AG65" s="158">
        <f t="shared" si="8"/>
        <v>14.498416632787372</v>
      </c>
      <c r="AH65" s="158">
        <f t="shared" si="9"/>
        <v>12</v>
      </c>
      <c r="AI65" s="167">
        <f t="shared" si="3"/>
        <v>0.29425589641671884</v>
      </c>
      <c r="AJ65" s="167">
        <f t="shared" si="10"/>
        <v>1.5480000000000001E-2</v>
      </c>
      <c r="AK65" s="158">
        <f t="shared" si="4"/>
        <v>10.745670528</v>
      </c>
      <c r="AL65" s="158">
        <f t="shared" si="11"/>
        <v>0.83245118861114875</v>
      </c>
      <c r="AM65" s="158">
        <f t="shared" si="12"/>
        <v>9.913219339388851</v>
      </c>
      <c r="AN65" s="91"/>
      <c r="AO65" s="91"/>
      <c r="AP65" s="91"/>
      <c r="AQ65" s="91"/>
      <c r="AR65" s="91"/>
      <c r="AS65" s="79"/>
      <c r="AT65" s="72"/>
    </row>
    <row r="66" spans="1:46" ht="15.75" customHeight="1">
      <c r="A66" s="234">
        <f t="shared" si="5"/>
        <v>12</v>
      </c>
      <c r="B66" s="234"/>
      <c r="C66" s="170">
        <f t="shared" si="6"/>
        <v>9.6</v>
      </c>
      <c r="D66" s="170"/>
      <c r="E66" s="235">
        <f t="shared" si="1"/>
        <v>10.202172863415107</v>
      </c>
      <c r="F66" s="235"/>
      <c r="G66" s="235">
        <f t="shared" si="2"/>
        <v>0.54349766458489235</v>
      </c>
      <c r="H66" s="235"/>
      <c r="I66" s="6"/>
      <c r="J66" s="6"/>
      <c r="K66" s="6"/>
      <c r="L66" s="6"/>
      <c r="M66" s="6"/>
      <c r="N66" s="6"/>
      <c r="O66" s="6"/>
      <c r="Q66" s="230">
        <f t="shared" si="15"/>
        <v>3</v>
      </c>
      <c r="R66" s="230"/>
      <c r="S66" s="209">
        <f t="shared" si="16"/>
        <v>30</v>
      </c>
      <c r="T66" s="209"/>
      <c r="U66" s="231">
        <f t="shared" si="13"/>
        <v>1.1159519093343142</v>
      </c>
      <c r="V66" s="231"/>
      <c r="W66" s="231">
        <f t="shared" si="14"/>
        <v>6.7547214486656868</v>
      </c>
      <c r="X66" s="231"/>
      <c r="Y66" s="42"/>
      <c r="Z66" s="71"/>
      <c r="AA66" s="60"/>
      <c r="AB66" s="72"/>
      <c r="AC66" s="6"/>
      <c r="AD66" s="6"/>
      <c r="AE66" s="135"/>
      <c r="AF66" s="159">
        <f t="shared" si="7"/>
        <v>24</v>
      </c>
      <c r="AG66" s="158">
        <f t="shared" si="8"/>
        <v>14.275709344988</v>
      </c>
      <c r="AH66" s="158">
        <f t="shared" si="9"/>
        <v>12</v>
      </c>
      <c r="AI66" s="167">
        <f t="shared" si="3"/>
        <v>0.29425589641671884</v>
      </c>
      <c r="AJ66" s="167">
        <f t="shared" si="10"/>
        <v>1.5480000000000001E-2</v>
      </c>
      <c r="AK66" s="158">
        <f t="shared" si="4"/>
        <v>10.745670528</v>
      </c>
      <c r="AL66" s="158">
        <f t="shared" si="11"/>
        <v>0.81310599968683306</v>
      </c>
      <c r="AM66" s="158">
        <f t="shared" si="12"/>
        <v>9.9325645283131667</v>
      </c>
      <c r="AN66" s="91"/>
      <c r="AO66" s="91"/>
      <c r="AP66" s="91"/>
      <c r="AQ66" s="91"/>
      <c r="AR66" s="91"/>
      <c r="AS66" s="79"/>
      <c r="AT66" s="72"/>
    </row>
    <row r="67" spans="1:46" ht="15.75" customHeight="1">
      <c r="A67" s="234">
        <f t="shared" si="5"/>
        <v>12.5</v>
      </c>
      <c r="B67" s="234"/>
      <c r="C67" s="170">
        <f t="shared" si="6"/>
        <v>10</v>
      </c>
      <c r="D67" s="170"/>
      <c r="E67" s="235">
        <f t="shared" si="1"/>
        <v>10.151154487253439</v>
      </c>
      <c r="F67" s="235"/>
      <c r="G67" s="235">
        <f t="shared" si="2"/>
        <v>0.59451604074656039</v>
      </c>
      <c r="H67" s="235"/>
      <c r="I67" s="6"/>
      <c r="J67" s="6"/>
      <c r="K67" s="6"/>
      <c r="L67" s="6"/>
      <c r="M67" s="6"/>
      <c r="N67" s="6"/>
      <c r="O67" s="6"/>
      <c r="Q67" s="230">
        <f t="shared" si="15"/>
        <v>3.5</v>
      </c>
      <c r="R67" s="230"/>
      <c r="S67" s="209">
        <f t="shared" si="16"/>
        <v>35</v>
      </c>
      <c r="T67" s="209"/>
      <c r="U67" s="231">
        <f t="shared" si="13"/>
        <v>0.84423167587847925</v>
      </c>
      <c r="V67" s="231"/>
      <c r="W67" s="231">
        <f t="shared" si="14"/>
        <v>7.0264416821215221</v>
      </c>
      <c r="X67" s="231"/>
      <c r="Y67" s="42"/>
      <c r="Z67" s="71"/>
      <c r="AA67" s="60"/>
      <c r="AB67" s="72"/>
      <c r="AC67" s="6"/>
      <c r="AD67" s="6"/>
      <c r="AE67" s="135"/>
      <c r="AF67" s="159">
        <f t="shared" si="7"/>
        <v>25</v>
      </c>
      <c r="AG67" s="158">
        <f t="shared" si="8"/>
        <v>14.056423019442311</v>
      </c>
      <c r="AH67" s="158">
        <f t="shared" si="9"/>
        <v>12</v>
      </c>
      <c r="AI67" s="167">
        <f t="shared" si="3"/>
        <v>0.29425589641671884</v>
      </c>
      <c r="AJ67" s="167">
        <f t="shared" si="10"/>
        <v>1.5480000000000001E-2</v>
      </c>
      <c r="AK67" s="158">
        <f t="shared" si="4"/>
        <v>10.745670528</v>
      </c>
      <c r="AL67" s="158">
        <f t="shared" si="11"/>
        <v>0.79572971405567827</v>
      </c>
      <c r="AM67" s="158">
        <f t="shared" si="12"/>
        <v>9.9499408139443215</v>
      </c>
      <c r="AN67" s="91"/>
      <c r="AO67" s="91"/>
      <c r="AP67" s="91"/>
      <c r="AQ67" s="91"/>
      <c r="AR67" s="91"/>
      <c r="AS67" s="79"/>
      <c r="AT67" s="72"/>
    </row>
    <row r="68" spans="1:46" ht="15.75" customHeight="1">
      <c r="A68" s="234">
        <f t="shared" si="5"/>
        <v>13</v>
      </c>
      <c r="B68" s="234"/>
      <c r="C68" s="170">
        <f t="shared" si="6"/>
        <v>10.4</v>
      </c>
      <c r="D68" s="170"/>
      <c r="E68" s="235">
        <f t="shared" si="1"/>
        <v>10.099042447133446</v>
      </c>
      <c r="F68" s="235"/>
      <c r="G68" s="235">
        <f t="shared" si="2"/>
        <v>0.6466280808665541</v>
      </c>
      <c r="H68" s="235"/>
      <c r="I68" s="6"/>
      <c r="J68" s="6"/>
      <c r="K68" s="6"/>
      <c r="L68" s="6"/>
      <c r="M68" s="6"/>
      <c r="N68" s="6"/>
      <c r="O68" s="6"/>
      <c r="Q68" s="230">
        <f t="shared" si="15"/>
        <v>4</v>
      </c>
      <c r="R68" s="230"/>
      <c r="S68" s="209">
        <f t="shared" si="16"/>
        <v>40</v>
      </c>
      <c r="T68" s="209"/>
      <c r="U68" s="231">
        <f t="shared" si="13"/>
        <v>0.63867189669646285</v>
      </c>
      <c r="V68" s="231"/>
      <c r="W68" s="231">
        <f t="shared" si="14"/>
        <v>7.2320014613035379</v>
      </c>
      <c r="X68" s="231"/>
      <c r="Y68" s="42"/>
      <c r="Z68" s="71"/>
      <c r="AA68" s="60"/>
      <c r="AB68" s="72"/>
      <c r="AC68" s="6"/>
      <c r="AD68" s="6"/>
      <c r="AE68" s="135"/>
      <c r="AF68" s="159">
        <f t="shared" si="7"/>
        <v>26</v>
      </c>
      <c r="AG68" s="158">
        <f t="shared" si="8"/>
        <v>13.84050510743106</v>
      </c>
      <c r="AH68" s="158">
        <f t="shared" si="9"/>
        <v>12</v>
      </c>
      <c r="AI68" s="167">
        <f t="shared" si="3"/>
        <v>0.29425589641671884</v>
      </c>
      <c r="AJ68" s="167">
        <f t="shared" si="10"/>
        <v>1.5480000000000001E-2</v>
      </c>
      <c r="AK68" s="158">
        <f t="shared" si="4"/>
        <v>10.745670528</v>
      </c>
      <c r="AL68" s="158">
        <f t="shared" si="11"/>
        <v>0.77986593607213983</v>
      </c>
      <c r="AM68" s="158">
        <f t="shared" si="12"/>
        <v>9.9658045919278599</v>
      </c>
      <c r="AN68" s="91"/>
      <c r="AO68" s="91"/>
      <c r="AP68" s="91"/>
      <c r="AQ68" s="91"/>
      <c r="AR68" s="91"/>
      <c r="AS68" s="79"/>
      <c r="AT68" s="72"/>
    </row>
    <row r="69" spans="1:46" ht="15.75" customHeight="1">
      <c r="A69" s="234">
        <f t="shared" si="5"/>
        <v>13.5</v>
      </c>
      <c r="B69" s="234"/>
      <c r="C69" s="170">
        <f t="shared" si="6"/>
        <v>10.8</v>
      </c>
      <c r="D69" s="170"/>
      <c r="E69" s="235">
        <f t="shared" si="1"/>
        <v>10.045925171845608</v>
      </c>
      <c r="F69" s="235"/>
      <c r="G69" s="235">
        <f t="shared" si="2"/>
        <v>0.69974535615439137</v>
      </c>
      <c r="H69" s="235"/>
      <c r="I69" s="6"/>
      <c r="J69" s="6"/>
      <c r="K69" s="6"/>
      <c r="L69" s="6"/>
      <c r="M69" s="6"/>
      <c r="N69" s="6"/>
      <c r="O69" s="6"/>
      <c r="Q69" s="230">
        <f t="shared" si="15"/>
        <v>4.5</v>
      </c>
      <c r="R69" s="230"/>
      <c r="S69" s="209">
        <f t="shared" si="16"/>
        <v>45</v>
      </c>
      <c r="T69" s="209"/>
      <c r="U69" s="231">
        <f t="shared" si="13"/>
        <v>0.48316333452592652</v>
      </c>
      <c r="V69" s="231"/>
      <c r="W69" s="231">
        <f t="shared" si="14"/>
        <v>7.3875100234740749</v>
      </c>
      <c r="X69" s="231"/>
      <c r="Y69" s="42"/>
      <c r="Z69" s="71"/>
      <c r="AA69" s="60"/>
      <c r="AB69" s="72"/>
      <c r="AC69" s="6"/>
      <c r="AD69" s="6"/>
      <c r="AE69" s="135"/>
      <c r="AF69" s="159">
        <f t="shared" si="7"/>
        <v>27</v>
      </c>
      <c r="AG69" s="158">
        <f t="shared" si="8"/>
        <v>13.627903867425397</v>
      </c>
      <c r="AH69" s="158">
        <f t="shared" si="9"/>
        <v>12</v>
      </c>
      <c r="AI69" s="167">
        <f t="shared" si="3"/>
        <v>0.29425589641671884</v>
      </c>
      <c r="AJ69" s="167">
        <f t="shared" si="10"/>
        <v>1.5480000000000001E-2</v>
      </c>
      <c r="AK69" s="158">
        <f t="shared" si="4"/>
        <v>10.745670528</v>
      </c>
      <c r="AL69" s="158">
        <f t="shared" si="11"/>
        <v>0.76517391281563185</v>
      </c>
      <c r="AM69" s="158">
        <f t="shared" si="12"/>
        <v>9.9804966151843679</v>
      </c>
      <c r="AN69" s="91"/>
      <c r="AO69" s="91"/>
      <c r="AP69" s="91"/>
      <c r="AQ69" s="91"/>
      <c r="AR69" s="91"/>
      <c r="AS69" s="79"/>
      <c r="AT69" s="72"/>
    </row>
    <row r="70" spans="1:46" ht="15.75" customHeight="1">
      <c r="A70" s="234">
        <f t="shared" si="5"/>
        <v>14</v>
      </c>
      <c r="B70" s="234"/>
      <c r="C70" s="170">
        <f t="shared" si="6"/>
        <v>11.2</v>
      </c>
      <c r="D70" s="170"/>
      <c r="E70" s="235">
        <f t="shared" si="1"/>
        <v>9.9918861048551602</v>
      </c>
      <c r="F70" s="235"/>
      <c r="G70" s="235">
        <f t="shared" si="2"/>
        <v>0.75378442314483962</v>
      </c>
      <c r="H70" s="235"/>
      <c r="I70" s="6"/>
      <c r="J70" s="6"/>
      <c r="K70" s="6"/>
      <c r="L70" s="6"/>
      <c r="M70" s="6"/>
      <c r="N70" s="6"/>
      <c r="O70" s="6"/>
      <c r="Q70" s="230">
        <f t="shared" si="15"/>
        <v>5</v>
      </c>
      <c r="R70" s="230"/>
      <c r="S70" s="209">
        <f t="shared" si="16"/>
        <v>50</v>
      </c>
      <c r="T70" s="209"/>
      <c r="U70" s="231">
        <f t="shared" si="13"/>
        <v>0.365519148466871</v>
      </c>
      <c r="V70" s="231"/>
      <c r="W70" s="231">
        <f t="shared" si="14"/>
        <v>7.5051542095331305</v>
      </c>
      <c r="X70" s="231"/>
      <c r="Y70" s="42"/>
      <c r="Z70" s="71"/>
      <c r="AA70" s="60"/>
      <c r="AB70" s="72"/>
      <c r="AC70" s="6"/>
      <c r="AD70" s="6"/>
      <c r="AE70" s="135"/>
      <c r="AF70" s="159">
        <f t="shared" si="7"/>
        <v>28</v>
      </c>
      <c r="AG70" s="158">
        <f t="shared" si="8"/>
        <v>13.418568352687787</v>
      </c>
      <c r="AH70" s="158">
        <f t="shared" si="9"/>
        <v>12</v>
      </c>
      <c r="AI70" s="167">
        <f t="shared" si="3"/>
        <v>0.29425589641671884</v>
      </c>
      <c r="AJ70" s="167">
        <f t="shared" si="10"/>
        <v>1.5480000000000001E-2</v>
      </c>
      <c r="AK70" s="158">
        <f t="shared" si="4"/>
        <v>10.745670528</v>
      </c>
      <c r="AL70" s="158">
        <f t="shared" si="11"/>
        <v>0.75139906585534533</v>
      </c>
      <c r="AM70" s="158">
        <f t="shared" si="12"/>
        <v>9.9942714621446544</v>
      </c>
      <c r="AN70" s="91"/>
      <c r="AO70" s="91"/>
      <c r="AP70" s="91"/>
      <c r="AQ70" s="91"/>
      <c r="AR70" s="91"/>
      <c r="AS70" s="79"/>
      <c r="AT70" s="72"/>
    </row>
    <row r="71" spans="1:46" ht="15.75" customHeight="1">
      <c r="A71" s="234">
        <f t="shared" si="5"/>
        <v>14.5</v>
      </c>
      <c r="B71" s="234"/>
      <c r="C71" s="170">
        <f t="shared" si="6"/>
        <v>11.6</v>
      </c>
      <c r="D71" s="170"/>
      <c r="E71" s="235">
        <f t="shared" si="1"/>
        <v>9.9370039742541358</v>
      </c>
      <c r="F71" s="235"/>
      <c r="G71" s="235">
        <f t="shared" si="2"/>
        <v>0.80866655374586394</v>
      </c>
      <c r="H71" s="235"/>
      <c r="I71" s="6"/>
      <c r="J71" s="6"/>
      <c r="K71" s="6"/>
      <c r="L71" s="6"/>
      <c r="M71" s="6"/>
      <c r="N71" s="6"/>
      <c r="O71" s="6"/>
      <c r="Q71" s="230">
        <f t="shared" si="15"/>
        <v>5.5</v>
      </c>
      <c r="R71" s="230"/>
      <c r="S71" s="209">
        <f t="shared" si="16"/>
        <v>55</v>
      </c>
      <c r="T71" s="209"/>
      <c r="U71" s="231">
        <f t="shared" si="13"/>
        <v>0.27651983987368811</v>
      </c>
      <c r="V71" s="231"/>
      <c r="W71" s="231">
        <f t="shared" si="14"/>
        <v>7.5941535181263129</v>
      </c>
      <c r="X71" s="231"/>
      <c r="Z71" s="71"/>
      <c r="AA71" s="73"/>
      <c r="AB71" s="72"/>
      <c r="AC71" s="6"/>
      <c r="AD71" s="6"/>
      <c r="AE71" s="135"/>
      <c r="AF71" s="159">
        <f t="shared" si="7"/>
        <v>29</v>
      </c>
      <c r="AG71" s="158">
        <f t="shared" si="8"/>
        <v>13.212448399063371</v>
      </c>
      <c r="AH71" s="158">
        <f t="shared" si="9"/>
        <v>12</v>
      </c>
      <c r="AI71" s="167">
        <f t="shared" si="3"/>
        <v>0.29425589641671884</v>
      </c>
      <c r="AJ71" s="167">
        <f t="shared" si="10"/>
        <v>1.5480000000000001E-2</v>
      </c>
      <c r="AK71" s="158">
        <f t="shared" si="4"/>
        <v>10.745670528</v>
      </c>
      <c r="AL71" s="158">
        <f t="shared" si="11"/>
        <v>0.73835103472166708</v>
      </c>
      <c r="AM71" s="158">
        <f t="shared" si="12"/>
        <v>10.007319493278333</v>
      </c>
      <c r="AN71" s="91"/>
      <c r="AO71" s="91"/>
      <c r="AP71" s="91"/>
      <c r="AQ71" s="91"/>
      <c r="AR71" s="91"/>
      <c r="AS71" s="79"/>
      <c r="AT71" s="72"/>
    </row>
    <row r="72" spans="1:46" ht="15.75" customHeight="1">
      <c r="A72" s="234">
        <f t="shared" si="5"/>
        <v>15</v>
      </c>
      <c r="B72" s="234"/>
      <c r="C72" s="170">
        <f t="shared" si="6"/>
        <v>12</v>
      </c>
      <c r="D72" s="170"/>
      <c r="E72" s="235">
        <f t="shared" si="1"/>
        <v>9.8813530481773793</v>
      </c>
      <c r="F72" s="235"/>
      <c r="G72" s="235">
        <f t="shared" si="2"/>
        <v>0.86431747982262053</v>
      </c>
      <c r="H72" s="235"/>
      <c r="I72" s="6"/>
      <c r="J72" s="6"/>
      <c r="K72" s="6"/>
      <c r="L72" s="6"/>
      <c r="M72" s="6"/>
      <c r="N72" s="6"/>
      <c r="O72" s="6"/>
      <c r="Q72" s="230">
        <f t="shared" si="15"/>
        <v>6</v>
      </c>
      <c r="R72" s="230"/>
      <c r="S72" s="209">
        <f t="shared" si="16"/>
        <v>60</v>
      </c>
      <c r="T72" s="209"/>
      <c r="U72" s="231">
        <f t="shared" si="13"/>
        <v>0.20919074189269296</v>
      </c>
      <c r="V72" s="231"/>
      <c r="W72" s="231">
        <f t="shared" si="14"/>
        <v>7.6614826161073086</v>
      </c>
      <c r="X72" s="231"/>
      <c r="Z72" s="71"/>
      <c r="AA72" s="73"/>
      <c r="AB72" s="72"/>
      <c r="AC72" s="6"/>
      <c r="AD72" s="6"/>
      <c r="AE72" s="135"/>
      <c r="AF72" s="159">
        <f t="shared" si="7"/>
        <v>30</v>
      </c>
      <c r="AG72" s="158">
        <f t="shared" si="8"/>
        <v>13.009494612958877</v>
      </c>
      <c r="AH72" s="158">
        <f t="shared" si="9"/>
        <v>12</v>
      </c>
      <c r="AI72" s="167">
        <f t="shared" si="3"/>
        <v>0.29425589641671884</v>
      </c>
      <c r="AJ72" s="167">
        <f t="shared" si="10"/>
        <v>1.5480000000000001E-2</v>
      </c>
      <c r="AK72" s="158">
        <f t="shared" si="4"/>
        <v>10.745670528</v>
      </c>
      <c r="AL72" s="158">
        <f t="shared" si="11"/>
        <v>0.72588731724605537</v>
      </c>
      <c r="AM72" s="158">
        <f t="shared" si="12"/>
        <v>10.019783210753944</v>
      </c>
      <c r="AN72" s="91"/>
      <c r="AO72" s="91"/>
      <c r="AP72" s="91"/>
      <c r="AQ72" s="91"/>
      <c r="AR72" s="91"/>
      <c r="AS72" s="79"/>
      <c r="AT72" s="72"/>
    </row>
    <row r="73" spans="1:46" ht="15.75" customHeight="1">
      <c r="A73" s="234">
        <f t="shared" si="5"/>
        <v>15.5</v>
      </c>
      <c r="B73" s="234"/>
      <c r="C73" s="170">
        <f t="shared" si="6"/>
        <v>12.4</v>
      </c>
      <c r="D73" s="170"/>
      <c r="E73" s="235">
        <f t="shared" si="1"/>
        <v>9.8250033764646165</v>
      </c>
      <c r="F73" s="235"/>
      <c r="G73" s="235">
        <f t="shared" si="2"/>
        <v>0.92066715153538325</v>
      </c>
      <c r="H73" s="235"/>
      <c r="I73" s="6"/>
      <c r="J73" s="6"/>
      <c r="K73" s="6"/>
      <c r="L73" s="6"/>
      <c r="M73" s="6"/>
      <c r="N73" s="6"/>
      <c r="O73" s="6"/>
      <c r="Q73" s="230">
        <f t="shared" si="15"/>
        <v>6.5</v>
      </c>
      <c r="R73" s="230"/>
      <c r="S73" s="209">
        <f t="shared" si="16"/>
        <v>65</v>
      </c>
      <c r="T73" s="209"/>
      <c r="U73" s="231">
        <f t="shared" si="13"/>
        <v>0.15825543119656385</v>
      </c>
      <c r="V73" s="231"/>
      <c r="W73" s="231">
        <f t="shared" si="14"/>
        <v>7.712417926803437</v>
      </c>
      <c r="X73" s="231"/>
      <c r="Z73" s="71"/>
      <c r="AA73" s="73"/>
      <c r="AB73" s="72"/>
      <c r="AC73" s="6"/>
      <c r="AD73" s="6"/>
      <c r="AE73" s="135"/>
      <c r="AF73" s="159">
        <f t="shared" si="7"/>
        <v>31</v>
      </c>
      <c r="AG73" s="158">
        <f t="shared" si="8"/>
        <v>12.809658359506171</v>
      </c>
      <c r="AH73" s="158">
        <f t="shared" si="9"/>
        <v>12</v>
      </c>
      <c r="AI73" s="167">
        <f t="shared" si="3"/>
        <v>0.29425589641671884</v>
      </c>
      <c r="AJ73" s="167">
        <f t="shared" si="10"/>
        <v>1.5480000000000001E-2</v>
      </c>
      <c r="AK73" s="158">
        <f t="shared" si="4"/>
        <v>10.745670528</v>
      </c>
      <c r="AL73" s="158">
        <f t="shared" si="11"/>
        <v>0.71390108005066111</v>
      </c>
      <c r="AM73" s="158">
        <f t="shared" si="12"/>
        <v>10.031769447949339</v>
      </c>
      <c r="AN73" s="91"/>
      <c r="AO73" s="91"/>
      <c r="AP73" s="91"/>
      <c r="AQ73" s="91"/>
      <c r="AR73" s="91"/>
      <c r="AS73" s="79"/>
      <c r="AT73" s="72"/>
    </row>
    <row r="74" spans="1:46" ht="15.75" customHeight="1">
      <c r="A74" s="234">
        <f t="shared" si="5"/>
        <v>16</v>
      </c>
      <c r="B74" s="234"/>
      <c r="C74" s="170">
        <f t="shared" si="6"/>
        <v>12.8</v>
      </c>
      <c r="D74" s="170"/>
      <c r="E74" s="235">
        <f t="shared" si="1"/>
        <v>9.7680210193086197</v>
      </c>
      <c r="F74" s="235"/>
      <c r="G74" s="235">
        <f t="shared" si="2"/>
        <v>0.97764950869138012</v>
      </c>
      <c r="H74" s="235"/>
      <c r="I74" s="6"/>
      <c r="J74" s="6"/>
      <c r="K74" s="6"/>
      <c r="L74" s="6"/>
      <c r="M74" s="6"/>
      <c r="N74" s="6"/>
      <c r="O74" s="6"/>
      <c r="Q74" s="230">
        <f t="shared" si="15"/>
        <v>7</v>
      </c>
      <c r="R74" s="230"/>
      <c r="S74" s="209">
        <f t="shared" si="16"/>
        <v>70</v>
      </c>
      <c r="T74" s="209"/>
      <c r="U74" s="231">
        <f t="shared" si="13"/>
        <v>0.11972222707665227</v>
      </c>
      <c r="V74" s="231"/>
      <c r="W74" s="231">
        <f t="shared" si="14"/>
        <v>7.7509511309233492</v>
      </c>
      <c r="X74" s="231"/>
      <c r="Z74" s="71"/>
      <c r="AA74" s="73"/>
      <c r="AB74" s="72"/>
      <c r="AC74" s="6"/>
      <c r="AD74" s="6"/>
      <c r="AE74" s="135"/>
      <c r="AF74" s="159">
        <f t="shared" si="7"/>
        <v>32</v>
      </c>
      <c r="AG74" s="158">
        <f t="shared" si="8"/>
        <v>12.612891750907636</v>
      </c>
      <c r="AH74" s="158">
        <f t="shared" si="9"/>
        <v>12</v>
      </c>
      <c r="AI74" s="167">
        <f t="shared" si="3"/>
        <v>0.29425589641671884</v>
      </c>
      <c r="AJ74" s="167">
        <f t="shared" si="10"/>
        <v>1.5480000000000001E-2</v>
      </c>
      <c r="AK74" s="158">
        <f t="shared" si="4"/>
        <v>10.745670528</v>
      </c>
      <c r="AL74" s="158">
        <f t="shared" si="11"/>
        <v>0.70231207615974789</v>
      </c>
      <c r="AM74" s="158">
        <f t="shared" si="12"/>
        <v>10.043358451840252</v>
      </c>
      <c r="AN74" s="91"/>
      <c r="AO74" s="91"/>
      <c r="AP74" s="91"/>
      <c r="AQ74" s="91"/>
      <c r="AR74" s="91"/>
      <c r="AS74" s="79"/>
      <c r="AT74" s="72"/>
    </row>
    <row r="75" spans="1:46" ht="15.75" customHeight="1">
      <c r="A75" s="234">
        <f t="shared" si="5"/>
        <v>16.5</v>
      </c>
      <c r="B75" s="234"/>
      <c r="C75" s="170">
        <f t="shared" si="6"/>
        <v>13.2</v>
      </c>
      <c r="D75" s="170"/>
      <c r="E75" s="235">
        <f t="shared" si="1"/>
        <v>9.7104682635896413</v>
      </c>
      <c r="F75" s="235"/>
      <c r="G75" s="235">
        <f t="shared" si="2"/>
        <v>1.0352022644103585</v>
      </c>
      <c r="H75" s="235"/>
      <c r="I75" s="6"/>
      <c r="J75" s="6"/>
      <c r="K75" s="6"/>
      <c r="L75" s="6"/>
      <c r="M75" s="6"/>
      <c r="N75" s="6"/>
      <c r="O75" s="6"/>
      <c r="Q75" s="230">
        <f t="shared" si="15"/>
        <v>7.5</v>
      </c>
      <c r="R75" s="230"/>
      <c r="S75" s="209">
        <f t="shared" si="16"/>
        <v>75</v>
      </c>
      <c r="T75" s="209"/>
      <c r="U75" s="231">
        <f t="shared" si="13"/>
        <v>9.0571372797881619E-2</v>
      </c>
      <c r="V75" s="231"/>
      <c r="W75" s="231">
        <f t="shared" si="14"/>
        <v>7.78010198520212</v>
      </c>
      <c r="X75" s="231"/>
      <c r="Z75" s="71"/>
      <c r="AA75" s="73"/>
      <c r="AB75" s="72"/>
      <c r="AC75" s="6"/>
      <c r="AD75" s="6"/>
      <c r="AE75" s="135"/>
      <c r="AF75" s="159">
        <f t="shared" si="7"/>
        <v>33</v>
      </c>
      <c r="AG75" s="158">
        <f t="shared" si="8"/>
        <v>12.419147634960565</v>
      </c>
      <c r="AH75" s="158">
        <f t="shared" si="9"/>
        <v>12</v>
      </c>
      <c r="AI75" s="167">
        <f t="shared" si="3"/>
        <v>0.29425589641671884</v>
      </c>
      <c r="AJ75" s="167">
        <f t="shared" si="10"/>
        <v>1.5480000000000001E-2</v>
      </c>
      <c r="AK75" s="158">
        <f t="shared" si="4"/>
        <v>10.745670528</v>
      </c>
      <c r="AL75" s="158">
        <f t="shared" si="11"/>
        <v>0.69105987768588406</v>
      </c>
      <c r="AM75" s="158">
        <f t="shared" si="12"/>
        <v>10.054610650314116</v>
      </c>
      <c r="AN75" s="91"/>
      <c r="AO75" s="91"/>
      <c r="AP75" s="91"/>
      <c r="AQ75" s="91"/>
      <c r="AR75" s="91"/>
      <c r="AS75" s="79"/>
      <c r="AT75" s="72"/>
    </row>
    <row r="76" spans="1:46" ht="15.75" customHeight="1">
      <c r="A76" s="234">
        <f t="shared" si="5"/>
        <v>17</v>
      </c>
      <c r="B76" s="234"/>
      <c r="C76" s="170">
        <f t="shared" si="6"/>
        <v>13.6</v>
      </c>
      <c r="D76" s="170"/>
      <c r="E76" s="235">
        <f t="shared" si="1"/>
        <v>9.6524038275586932</v>
      </c>
      <c r="F76" s="235"/>
      <c r="G76" s="235">
        <f t="shared" si="2"/>
        <v>1.0932667004413066</v>
      </c>
      <c r="H76" s="235"/>
      <c r="I76" s="6"/>
      <c r="J76" s="6"/>
      <c r="K76" s="6"/>
      <c r="L76" s="6"/>
      <c r="M76" s="6"/>
      <c r="N76" s="6"/>
      <c r="O76" s="6"/>
      <c r="Q76" s="230">
        <f t="shared" si="15"/>
        <v>8</v>
      </c>
      <c r="R76" s="230"/>
      <c r="S76" s="209">
        <f t="shared" si="16"/>
        <v>80</v>
      </c>
      <c r="T76" s="209"/>
      <c r="U76" s="231">
        <f t="shared" si="13"/>
        <v>6.8518384353481537E-2</v>
      </c>
      <c r="V76" s="231"/>
      <c r="W76" s="231">
        <f t="shared" si="14"/>
        <v>7.8021549736465197</v>
      </c>
      <c r="X76" s="231"/>
      <c r="Z76" s="71"/>
      <c r="AA76" s="73"/>
      <c r="AB76" s="72"/>
      <c r="AC76" s="6"/>
      <c r="AD76" s="6"/>
      <c r="AE76" s="135"/>
      <c r="AF76" s="159">
        <f t="shared" si="7"/>
        <v>34</v>
      </c>
      <c r="AG76" s="158">
        <f t="shared" si="8"/>
        <v>12.228379583757837</v>
      </c>
      <c r="AH76" s="158">
        <f t="shared" si="9"/>
        <v>12</v>
      </c>
      <c r="AI76" s="167">
        <f t="shared" si="3"/>
        <v>0.29425589641671884</v>
      </c>
      <c r="AJ76" s="167">
        <f t="shared" si="10"/>
        <v>1.5480000000000001E-2</v>
      </c>
      <c r="AK76" s="158">
        <f t="shared" si="4"/>
        <v>10.745670528</v>
      </c>
      <c r="AL76" s="158">
        <f t="shared" si="11"/>
        <v>0.68009883344785749</v>
      </c>
      <c r="AM76" s="158">
        <f t="shared" si="12"/>
        <v>10.065571694552142</v>
      </c>
      <c r="AN76" s="91"/>
      <c r="AO76" s="91"/>
      <c r="AP76" s="91"/>
      <c r="AQ76" s="91"/>
      <c r="AR76" s="91"/>
      <c r="AS76" s="79"/>
      <c r="AT76" s="72"/>
    </row>
    <row r="77" spans="1:46" ht="15.75" customHeight="1">
      <c r="A77" s="234">
        <f t="shared" si="5"/>
        <v>17.5</v>
      </c>
      <c r="B77" s="234"/>
      <c r="C77" s="170">
        <f t="shared" si="6"/>
        <v>14</v>
      </c>
      <c r="D77" s="170"/>
      <c r="E77" s="235">
        <f t="shared" si="1"/>
        <v>9.5938830544965317</v>
      </c>
      <c r="F77" s="235"/>
      <c r="G77" s="235">
        <f t="shared" si="2"/>
        <v>1.1517874735034681</v>
      </c>
      <c r="H77" s="235"/>
      <c r="I77" s="6"/>
      <c r="J77" s="6"/>
      <c r="K77" s="6"/>
      <c r="L77" s="6"/>
      <c r="M77" s="6"/>
      <c r="N77" s="6"/>
      <c r="O77" s="6"/>
      <c r="Q77" s="230">
        <f t="shared" si="15"/>
        <v>8.5</v>
      </c>
      <c r="R77" s="230"/>
      <c r="S77" s="209">
        <f t="shared" si="16"/>
        <v>85</v>
      </c>
      <c r="T77" s="209"/>
      <c r="U77" s="231">
        <f t="shared" si="13"/>
        <v>5.183502081709896E-2</v>
      </c>
      <c r="V77" s="231"/>
      <c r="W77" s="231">
        <f t="shared" si="14"/>
        <v>7.8188383371829024</v>
      </c>
      <c r="X77" s="231"/>
      <c r="Z77" s="71"/>
      <c r="AA77" s="73"/>
      <c r="AB77" s="72"/>
      <c r="AC77" s="6"/>
      <c r="AD77" s="6"/>
      <c r="AE77" s="135"/>
      <c r="AF77" s="159">
        <f t="shared" si="7"/>
        <v>35</v>
      </c>
      <c r="AG77" s="158">
        <f t="shared" si="8"/>
        <v>12.040541882562161</v>
      </c>
      <c r="AH77" s="158">
        <f t="shared" si="9"/>
        <v>12</v>
      </c>
      <c r="AI77" s="167">
        <f t="shared" si="3"/>
        <v>0.29425589641671884</v>
      </c>
      <c r="AJ77" s="167">
        <f t="shared" si="10"/>
        <v>1.5480000000000001E-2</v>
      </c>
      <c r="AK77" s="158">
        <f t="shared" si="4"/>
        <v>10.745670528</v>
      </c>
      <c r="AL77" s="158">
        <f t="shared" si="11"/>
        <v>0.66939431181307008</v>
      </c>
      <c r="AM77" s="158">
        <f t="shared" si="12"/>
        <v>10.07627621618693</v>
      </c>
      <c r="AN77" s="91"/>
      <c r="AO77" s="91"/>
      <c r="AP77" s="91"/>
      <c r="AQ77" s="91"/>
      <c r="AR77" s="91"/>
      <c r="AS77" s="79"/>
      <c r="AT77" s="72"/>
    </row>
    <row r="78" spans="1:46" ht="15.75" customHeight="1">
      <c r="A78" s="234">
        <f t="shared" si="5"/>
        <v>18</v>
      </c>
      <c r="B78" s="234"/>
      <c r="C78" s="170">
        <f t="shared" si="6"/>
        <v>14.4</v>
      </c>
      <c r="D78" s="170"/>
      <c r="E78" s="235">
        <f t="shared" si="1"/>
        <v>9.5349580959415174</v>
      </c>
      <c r="F78" s="235"/>
      <c r="G78" s="235">
        <f t="shared" si="2"/>
        <v>1.2107124320584823</v>
      </c>
      <c r="H78" s="235"/>
      <c r="I78" s="6"/>
      <c r="J78" s="6"/>
      <c r="K78" s="6"/>
      <c r="L78" s="6"/>
      <c r="M78" s="6"/>
      <c r="N78" s="6"/>
      <c r="O78" s="6"/>
      <c r="Q78" s="230">
        <f t="shared" si="15"/>
        <v>9</v>
      </c>
      <c r="R78" s="230"/>
      <c r="S78" s="209">
        <f t="shared" si="16"/>
        <v>90</v>
      </c>
      <c r="T78" s="209"/>
      <c r="U78" s="231">
        <f t="shared" si="13"/>
        <v>3.921384615912292E-2</v>
      </c>
      <c r="V78" s="231"/>
      <c r="W78" s="231">
        <f t="shared" si="14"/>
        <v>7.8314595118408787</v>
      </c>
      <c r="X78" s="231"/>
      <c r="Z78" s="71"/>
      <c r="AA78" s="73"/>
      <c r="AB78" s="72"/>
      <c r="AC78" s="6"/>
      <c r="AD78" s="6"/>
      <c r="AE78" s="135"/>
      <c r="AF78" s="159">
        <f t="shared" si="7"/>
        <v>36</v>
      </c>
      <c r="AG78" s="158">
        <f t="shared" si="8"/>
        <v>11.855589518851213</v>
      </c>
      <c r="AH78" s="158">
        <f t="shared" si="9"/>
        <v>12</v>
      </c>
      <c r="AI78" s="167">
        <f t="shared" si="3"/>
        <v>0.29425589641671884</v>
      </c>
      <c r="AJ78" s="167">
        <f t="shared" si="10"/>
        <v>1.5480000000000001E-2</v>
      </c>
      <c r="AK78" s="158">
        <f t="shared" si="4"/>
        <v>10.745670528</v>
      </c>
      <c r="AL78" s="158">
        <f t="shared" si="11"/>
        <v>0.65891990114475263</v>
      </c>
      <c r="AM78" s="158">
        <f t="shared" si="12"/>
        <v>10.086750626855247</v>
      </c>
      <c r="AN78" s="91"/>
      <c r="AO78" s="91"/>
      <c r="AP78" s="91"/>
      <c r="AQ78" s="91"/>
      <c r="AR78" s="91"/>
      <c r="AS78" s="79"/>
      <c r="AT78" s="72"/>
    </row>
    <row r="79" spans="1:46" ht="15.75" customHeight="1">
      <c r="A79" s="234">
        <f t="shared" si="5"/>
        <v>18.5</v>
      </c>
      <c r="B79" s="234"/>
      <c r="C79" s="170">
        <f t="shared" si="6"/>
        <v>14.8</v>
      </c>
      <c r="D79" s="170"/>
      <c r="E79" s="235">
        <f t="shared" si="1"/>
        <v>9.4756780850476492</v>
      </c>
      <c r="F79" s="235"/>
      <c r="G79" s="235">
        <f t="shared" si="2"/>
        <v>1.2699924429523506</v>
      </c>
      <c r="H79" s="235"/>
      <c r="I79" s="6"/>
      <c r="J79" s="6"/>
      <c r="K79" s="6"/>
      <c r="L79" s="6"/>
      <c r="M79" s="6"/>
      <c r="N79" s="6"/>
      <c r="O79" s="6"/>
      <c r="Q79" s="230">
        <f t="shared" si="15"/>
        <v>9.5</v>
      </c>
      <c r="R79" s="230"/>
      <c r="S79" s="209">
        <f t="shared" si="16"/>
        <v>95</v>
      </c>
      <c r="T79" s="209"/>
      <c r="U79" s="231">
        <f t="shared" si="13"/>
        <v>2.966576855476263E-2</v>
      </c>
      <c r="V79" s="231"/>
      <c r="W79" s="231">
        <f t="shared" si="14"/>
        <v>7.8410075894452387</v>
      </c>
      <c r="X79" s="231"/>
      <c r="Z79" s="71"/>
      <c r="AA79" s="73"/>
      <c r="AB79" s="72"/>
      <c r="AC79" s="6"/>
      <c r="AD79" s="6"/>
      <c r="AE79" s="135"/>
      <c r="AF79" s="159">
        <f t="shared" si="7"/>
        <v>37</v>
      </c>
      <c r="AG79" s="158">
        <f t="shared" si="8"/>
        <v>11.673478171531046</v>
      </c>
      <c r="AH79" s="158">
        <f t="shared" si="9"/>
        <v>12</v>
      </c>
      <c r="AI79" s="167">
        <f t="shared" si="3"/>
        <v>0.29425589641671884</v>
      </c>
      <c r="AJ79" s="167">
        <f t="shared" si="10"/>
        <v>1.5480000000000001E-2</v>
      </c>
      <c r="AK79" s="158">
        <f t="shared" si="4"/>
        <v>10.745670528</v>
      </c>
      <c r="AL79" s="158">
        <f t="shared" si="11"/>
        <v>0.64865532374920853</v>
      </c>
      <c r="AM79" s="158">
        <f t="shared" si="12"/>
        <v>10.097015204250791</v>
      </c>
      <c r="AN79" s="91"/>
      <c r="AO79" s="91"/>
      <c r="AP79" s="91"/>
      <c r="AQ79" s="91"/>
      <c r="AR79" s="91"/>
      <c r="AS79" s="79"/>
      <c r="AT79" s="72"/>
    </row>
    <row r="80" spans="1:46" ht="15.75" customHeight="1">
      <c r="A80" s="234">
        <f t="shared" si="5"/>
        <v>19</v>
      </c>
      <c r="B80" s="234"/>
      <c r="C80" s="170">
        <f t="shared" si="6"/>
        <v>15.2</v>
      </c>
      <c r="D80" s="170"/>
      <c r="E80" s="235">
        <f t="shared" si="1"/>
        <v>9.4160893006037547</v>
      </c>
      <c r="F80" s="235"/>
      <c r="G80" s="235">
        <f t="shared" si="2"/>
        <v>1.3295812273962451</v>
      </c>
      <c r="H80" s="235"/>
      <c r="I80" s="6"/>
      <c r="J80" s="6"/>
      <c r="K80" s="6"/>
      <c r="L80" s="6"/>
      <c r="M80" s="6"/>
      <c r="N80" s="6"/>
      <c r="O80" s="6"/>
      <c r="Q80" s="230">
        <f t="shared" si="15"/>
        <v>10</v>
      </c>
      <c r="R80" s="230"/>
      <c r="S80" s="209">
        <f t="shared" si="16"/>
        <v>100</v>
      </c>
      <c r="T80" s="209"/>
      <c r="U80" s="231">
        <f t="shared" si="13"/>
        <v>2.244252758001913E-2</v>
      </c>
      <c r="V80" s="231"/>
      <c r="W80" s="231">
        <f t="shared" si="14"/>
        <v>7.8482308304199817</v>
      </c>
      <c r="X80" s="231"/>
      <c r="Z80" s="71"/>
      <c r="AA80" s="73"/>
      <c r="AB80" s="72"/>
      <c r="AC80" s="6"/>
      <c r="AD80" s="6"/>
      <c r="AE80" s="135"/>
      <c r="AF80" s="159">
        <f t="shared" si="7"/>
        <v>38</v>
      </c>
      <c r="AG80" s="158">
        <f t="shared" si="8"/>
        <v>11.494164200315209</v>
      </c>
      <c r="AH80" s="158">
        <f t="shared" si="9"/>
        <v>12</v>
      </c>
      <c r="AI80" s="167">
        <f t="shared" si="3"/>
        <v>0.29425589641671884</v>
      </c>
      <c r="AJ80" s="167">
        <f t="shared" si="10"/>
        <v>1.5480000000000001E-2</v>
      </c>
      <c r="AK80" s="158">
        <f t="shared" si="4"/>
        <v>10.745670528</v>
      </c>
      <c r="AL80" s="158">
        <f t="shared" si="11"/>
        <v>0.63858488144404291</v>
      </c>
      <c r="AM80" s="158">
        <f t="shared" si="12"/>
        <v>10.107085646555957</v>
      </c>
      <c r="AN80" s="91"/>
      <c r="AO80" s="91"/>
      <c r="AP80" s="91"/>
      <c r="AQ80" s="91"/>
      <c r="AR80" s="91"/>
      <c r="AS80" s="79"/>
      <c r="AT80" s="72"/>
    </row>
    <row r="81" spans="1:46" ht="15.75" customHeight="1">
      <c r="A81" s="234">
        <f t="shared" si="5"/>
        <v>19.5</v>
      </c>
      <c r="B81" s="234"/>
      <c r="C81" s="170">
        <f t="shared" si="6"/>
        <v>15.6</v>
      </c>
      <c r="D81" s="170"/>
      <c r="E81" s="235">
        <f t="shared" si="1"/>
        <v>9.3562353222164294</v>
      </c>
      <c r="F81" s="235"/>
      <c r="G81" s="235">
        <f t="shared" si="2"/>
        <v>1.3894352057835704</v>
      </c>
      <c r="H81" s="235"/>
      <c r="I81" s="6"/>
      <c r="J81" s="6"/>
      <c r="K81" s="6"/>
      <c r="L81" s="6"/>
      <c r="M81" s="6"/>
      <c r="N81" s="6"/>
      <c r="O81" s="6"/>
      <c r="Q81" s="230">
        <f t="shared" si="15"/>
        <v>10.5</v>
      </c>
      <c r="R81" s="230"/>
      <c r="S81" s="209">
        <f t="shared" si="16"/>
        <v>105</v>
      </c>
      <c r="T81" s="209"/>
      <c r="U81" s="231">
        <f t="shared" si="13"/>
        <v>1.6978054799091279E-2</v>
      </c>
      <c r="V81" s="231"/>
      <c r="W81" s="231">
        <f t="shared" si="14"/>
        <v>7.8536953032009098</v>
      </c>
      <c r="X81" s="231"/>
      <c r="Z81" s="71"/>
      <c r="AA81" s="73"/>
      <c r="AB81" s="72"/>
      <c r="AC81" s="6"/>
      <c r="AD81" s="6"/>
      <c r="AE81" s="135"/>
      <c r="AF81" s="159">
        <f t="shared" si="7"/>
        <v>39</v>
      </c>
      <c r="AG81" s="158">
        <f t="shared" si="8"/>
        <v>11.317604635266989</v>
      </c>
      <c r="AH81" s="158">
        <f t="shared" si="9"/>
        <v>12</v>
      </c>
      <c r="AI81" s="167">
        <f t="shared" si="3"/>
        <v>0.29425589641671884</v>
      </c>
      <c r="AJ81" s="167">
        <f t="shared" si="10"/>
        <v>1.5480000000000001E-2</v>
      </c>
      <c r="AK81" s="158">
        <f t="shared" si="4"/>
        <v>10.745670528</v>
      </c>
      <c r="AL81" s="158">
        <f t="shared" si="11"/>
        <v>0.62869629723183706</v>
      </c>
      <c r="AM81" s="158">
        <f t="shared" si="12"/>
        <v>10.116974230768163</v>
      </c>
      <c r="AN81" s="79"/>
      <c r="AO81" s="79"/>
      <c r="AP81" s="79"/>
      <c r="AQ81" s="79"/>
      <c r="AR81" s="79"/>
      <c r="AS81" s="79"/>
      <c r="AT81" s="79"/>
    </row>
    <row r="82" spans="1:46" ht="15.75" customHeight="1">
      <c r="A82" s="234">
        <f t="shared" si="5"/>
        <v>20</v>
      </c>
      <c r="B82" s="234"/>
      <c r="C82" s="170">
        <f t="shared" si="6"/>
        <v>16</v>
      </c>
      <c r="D82" s="170"/>
      <c r="E82" s="235">
        <f t="shared" si="1"/>
        <v>9.296157177132093</v>
      </c>
      <c r="F82" s="235"/>
      <c r="G82" s="235">
        <f t="shared" si="2"/>
        <v>1.4495133508679068</v>
      </c>
      <c r="H82" s="235"/>
      <c r="I82" s="6"/>
      <c r="J82" s="6"/>
      <c r="K82" s="6"/>
      <c r="L82" s="6"/>
      <c r="M82" s="6"/>
      <c r="N82" s="6"/>
      <c r="O82" s="6"/>
      <c r="Q82" s="230">
        <f t="shared" si="15"/>
        <v>11</v>
      </c>
      <c r="R82" s="230"/>
      <c r="S82" s="209">
        <f t="shared" si="16"/>
        <v>110</v>
      </c>
      <c r="T82" s="209"/>
      <c r="U82" s="231">
        <f t="shared" si="13"/>
        <v>1.2844112310129593E-2</v>
      </c>
      <c r="V82" s="231"/>
      <c r="W82" s="231">
        <f t="shared" si="14"/>
        <v>7.8578292456898717</v>
      </c>
      <c r="X82" s="231"/>
      <c r="Z82" s="71"/>
      <c r="AA82" s="73"/>
      <c r="AB82" s="72"/>
      <c r="AC82" s="6"/>
      <c r="AD82" s="6"/>
      <c r="AE82" s="135"/>
      <c r="AF82" s="159">
        <f t="shared" si="7"/>
        <v>40</v>
      </c>
      <c r="AG82" s="158">
        <f t="shared" si="8"/>
        <v>11.143757166502303</v>
      </c>
      <c r="AH82" s="158">
        <f t="shared" si="9"/>
        <v>12</v>
      </c>
      <c r="AI82" s="167">
        <f t="shared" si="3"/>
        <v>0.29425589641671884</v>
      </c>
      <c r="AJ82" s="167">
        <f t="shared" si="10"/>
        <v>1.5480000000000001E-2</v>
      </c>
      <c r="AK82" s="158">
        <f t="shared" si="4"/>
        <v>10.745670528</v>
      </c>
      <c r="AL82" s="158">
        <f t="shared" si="11"/>
        <v>0.6189798521085379</v>
      </c>
      <c r="AM82" s="158">
        <f t="shared" si="12"/>
        <v>10.126690675891462</v>
      </c>
      <c r="AN82" s="79"/>
      <c r="AO82" s="79"/>
      <c r="AP82" s="79"/>
      <c r="AQ82" s="79"/>
      <c r="AR82" s="79"/>
      <c r="AS82" s="79"/>
      <c r="AT82" s="79"/>
    </row>
    <row r="83" spans="1:46" ht="15.75" customHeight="1">
      <c r="Q83" s="230">
        <f t="shared" si="15"/>
        <v>11.5</v>
      </c>
      <c r="R83" s="230"/>
      <c r="S83" s="209">
        <f t="shared" si="16"/>
        <v>115</v>
      </c>
      <c r="T83" s="209"/>
      <c r="U83" s="231">
        <f t="shared" si="13"/>
        <v>9.7167327463245304E-3</v>
      </c>
      <c r="V83" s="231"/>
      <c r="W83" s="231">
        <f t="shared" si="14"/>
        <v>7.8609566252536771</v>
      </c>
      <c r="X83" s="231"/>
      <c r="Z83" s="71"/>
      <c r="AA83" s="73"/>
      <c r="AB83" s="72"/>
      <c r="AC83" s="6"/>
      <c r="AD83" s="6"/>
      <c r="AE83" s="135"/>
      <c r="AF83" s="159">
        <f t="shared" si="7"/>
        <v>41</v>
      </c>
      <c r="AG83" s="158">
        <f t="shared" si="8"/>
        <v>10.972580134050766</v>
      </c>
      <c r="AH83" s="158">
        <f t="shared" si="9"/>
        <v>12</v>
      </c>
      <c r="AI83" s="167">
        <f t="shared" si="3"/>
        <v>0.29425589641671884</v>
      </c>
      <c r="AJ83" s="167">
        <f t="shared" si="10"/>
        <v>1.5480000000000001E-2</v>
      </c>
      <c r="AK83" s="158">
        <f t="shared" si="4"/>
        <v>10.745670528</v>
      </c>
      <c r="AL83" s="158">
        <f t="shared" si="11"/>
        <v>0.60942774177467918</v>
      </c>
      <c r="AM83" s="158">
        <f t="shared" si="12"/>
        <v>10.136242786225321</v>
      </c>
      <c r="AN83" s="79"/>
      <c r="AO83" s="79"/>
      <c r="AP83" s="79"/>
      <c r="AQ83" s="79"/>
      <c r="AR83" s="79"/>
      <c r="AS83" s="79"/>
      <c r="AT83" s="79"/>
    </row>
    <row r="84" spans="1:46" ht="15.75" customHeight="1">
      <c r="Q84" s="230">
        <f t="shared" si="15"/>
        <v>12</v>
      </c>
      <c r="R84" s="230"/>
      <c r="S84" s="209">
        <f t="shared" si="16"/>
        <v>120</v>
      </c>
      <c r="T84" s="209"/>
      <c r="U84" s="231">
        <f t="shared" si="13"/>
        <v>7.3508307140100647E-3</v>
      </c>
      <c r="V84" s="231"/>
      <c r="W84" s="231">
        <f t="shared" si="14"/>
        <v>7.863322527285991</v>
      </c>
      <c r="X84" s="231"/>
      <c r="Z84" s="71"/>
      <c r="AA84" s="73"/>
      <c r="AB84" s="72"/>
      <c r="AC84" s="6"/>
      <c r="AD84" s="6"/>
      <c r="AE84" s="135"/>
      <c r="AF84" s="159">
        <f t="shared" si="7"/>
        <v>42</v>
      </c>
      <c r="AG84" s="158">
        <f t="shared" si="8"/>
        <v>10.804032517872495</v>
      </c>
      <c r="AH84" s="158">
        <f t="shared" si="9"/>
        <v>12</v>
      </c>
      <c r="AI84" s="167">
        <f t="shared" si="3"/>
        <v>0.29425589641671884</v>
      </c>
      <c r="AJ84" s="167">
        <f t="shared" si="10"/>
        <v>1.5480000000000001E-2</v>
      </c>
      <c r="AK84" s="158">
        <f t="shared" si="4"/>
        <v>10.745670528</v>
      </c>
      <c r="AL84" s="158">
        <f t="shared" si="11"/>
        <v>0.60003359719516958</v>
      </c>
      <c r="AM84" s="158">
        <f t="shared" si="12"/>
        <v>10.14563693080483</v>
      </c>
      <c r="AN84" s="79"/>
      <c r="AO84" s="79"/>
      <c r="AP84" s="79"/>
      <c r="AQ84" s="79"/>
      <c r="AR84" s="79"/>
      <c r="AS84" s="79"/>
      <c r="AT84" s="79"/>
    </row>
    <row r="85" spans="1:46" ht="15.75" customHeight="1">
      <c r="Q85" s="230">
        <f t="shared" si="15"/>
        <v>12.5</v>
      </c>
      <c r="R85" s="230"/>
      <c r="S85" s="209">
        <f t="shared" si="16"/>
        <v>125</v>
      </c>
      <c r="T85" s="209"/>
      <c r="U85" s="231">
        <f t="shared" si="13"/>
        <v>5.5609960257961225E-3</v>
      </c>
      <c r="V85" s="231"/>
      <c r="W85" s="231">
        <f t="shared" si="14"/>
        <v>7.8651123619742052</v>
      </c>
      <c r="X85" s="231"/>
      <c r="Z85" s="71"/>
      <c r="AA85" s="73"/>
      <c r="AB85" s="72"/>
      <c r="AC85" s="6"/>
      <c r="AD85" s="6"/>
      <c r="AE85" s="135"/>
      <c r="AF85" s="159">
        <f t="shared" si="7"/>
        <v>43</v>
      </c>
      <c r="AG85" s="158">
        <f t="shared" si="8"/>
        <v>10.638073928028259</v>
      </c>
      <c r="AH85" s="158">
        <f t="shared" si="9"/>
        <v>12</v>
      </c>
      <c r="AI85" s="167">
        <f t="shared" si="3"/>
        <v>0.29425589641671884</v>
      </c>
      <c r="AJ85" s="167">
        <f t="shared" si="10"/>
        <v>1.5480000000000001E-2</v>
      </c>
      <c r="AK85" s="158">
        <f t="shared" si="4"/>
        <v>10.745670528</v>
      </c>
      <c r="AL85" s="158">
        <f t="shared" si="11"/>
        <v>0.59079212724240016</v>
      </c>
      <c r="AM85" s="158">
        <f t="shared" si="12"/>
        <v>10.1548784007576</v>
      </c>
    </row>
    <row r="86" spans="1:46" ht="15.75" customHeight="1">
      <c r="Q86" s="230">
        <f t="shared" si="15"/>
        <v>13</v>
      </c>
      <c r="R86" s="230"/>
      <c r="S86" s="209">
        <f t="shared" si="16"/>
        <v>130</v>
      </c>
      <c r="T86" s="209"/>
      <c r="U86" s="231">
        <f t="shared" si="13"/>
        <v>4.2069635395058733E-3</v>
      </c>
      <c r="V86" s="231"/>
      <c r="W86" s="231">
        <f t="shared" si="14"/>
        <v>7.8664663944604953</v>
      </c>
      <c r="X86" s="231"/>
      <c r="Z86" s="71"/>
      <c r="AA86" s="73"/>
      <c r="AB86" s="72"/>
      <c r="AC86" s="6"/>
      <c r="AD86" s="6"/>
      <c r="AE86" s="135"/>
      <c r="AF86" s="159">
        <f t="shared" si="7"/>
        <v>44</v>
      </c>
      <c r="AG86" s="158">
        <f t="shared" si="8"/>
        <v>10.474664595000636</v>
      </c>
      <c r="AH86" s="158">
        <f t="shared" si="9"/>
        <v>12</v>
      </c>
      <c r="AI86" s="167">
        <f t="shared" si="3"/>
        <v>0.29425589641671884</v>
      </c>
      <c r="AJ86" s="167">
        <f t="shared" si="10"/>
        <v>1.5480000000000001E-2</v>
      </c>
      <c r="AK86" s="158">
        <f t="shared" si="4"/>
        <v>10.745670528</v>
      </c>
      <c r="AL86" s="158">
        <f t="shared" si="11"/>
        <v>0.58169885230394947</v>
      </c>
      <c r="AM86" s="158">
        <f t="shared" si="12"/>
        <v>10.16397167569605</v>
      </c>
    </row>
    <row r="87" spans="1:46" ht="15.75" customHeight="1">
      <c r="Q87" s="230">
        <f t="shared" si="15"/>
        <v>13.5</v>
      </c>
      <c r="R87" s="230"/>
      <c r="S87" s="209">
        <f t="shared" si="16"/>
        <v>135</v>
      </c>
      <c r="T87" s="209"/>
      <c r="U87" s="231">
        <f t="shared" si="13"/>
        <v>3.1826209083107618E-3</v>
      </c>
      <c r="V87" s="231"/>
      <c r="W87" s="231">
        <f t="shared" si="14"/>
        <v>7.8674907370916909</v>
      </c>
      <c r="X87" s="231"/>
      <c r="Z87" s="71"/>
      <c r="AA87" s="73"/>
      <c r="AB87" s="72"/>
      <c r="AC87" s="6"/>
      <c r="AD87" s="6"/>
      <c r="AE87" s="135"/>
      <c r="AF87" s="159">
        <f t="shared" si="7"/>
        <v>45</v>
      </c>
      <c r="AG87" s="158">
        <f t="shared" si="8"/>
        <v>10.313765360163831</v>
      </c>
      <c r="AH87" s="158">
        <f t="shared" si="9"/>
        <v>12</v>
      </c>
      <c r="AI87" s="167">
        <f t="shared" si="3"/>
        <v>0.29425589641671884</v>
      </c>
      <c r="AJ87" s="167">
        <f t="shared" si="10"/>
        <v>1.5480000000000001E-2</v>
      </c>
      <c r="AK87" s="158">
        <f t="shared" si="4"/>
        <v>10.745670528</v>
      </c>
      <c r="AL87" s="158">
        <f t="shared" si="11"/>
        <v>0.57274990566871153</v>
      </c>
      <c r="AM87" s="158">
        <f t="shared" si="12"/>
        <v>10.172920622331288</v>
      </c>
    </row>
    <row r="88" spans="1:46" ht="15.75" customHeight="1">
      <c r="Q88" s="230">
        <f t="shared" si="15"/>
        <v>14</v>
      </c>
      <c r="R88" s="230"/>
      <c r="S88" s="209">
        <f t="shared" si="16"/>
        <v>140</v>
      </c>
      <c r="T88" s="209"/>
      <c r="U88" s="231">
        <f t="shared" si="13"/>
        <v>2.4076928052498667E-3</v>
      </c>
      <c r="V88" s="231"/>
      <c r="W88" s="231">
        <f t="shared" si="14"/>
        <v>7.8682656651947518</v>
      </c>
      <c r="X88" s="231"/>
      <c r="Z88" s="71"/>
      <c r="AA88" s="73"/>
      <c r="AB88" s="72"/>
      <c r="AC88" s="6"/>
      <c r="AD88" s="6"/>
      <c r="AE88" s="135"/>
      <c r="AF88" s="159">
        <f t="shared" si="7"/>
        <v>46</v>
      </c>
      <c r="AG88" s="158">
        <f t="shared" si="8"/>
        <v>10.155337666399895</v>
      </c>
      <c r="AH88" s="158">
        <f t="shared" si="9"/>
        <v>12</v>
      </c>
      <c r="AI88" s="167">
        <f t="shared" si="3"/>
        <v>0.29425589641671884</v>
      </c>
      <c r="AJ88" s="167">
        <f t="shared" si="10"/>
        <v>1.5480000000000001E-2</v>
      </c>
      <c r="AK88" s="158">
        <f t="shared" si="4"/>
        <v>10.745670528</v>
      </c>
      <c r="AL88" s="158">
        <f t="shared" si="11"/>
        <v>0.56394188541574763</v>
      </c>
      <c r="AM88" s="158">
        <f t="shared" si="12"/>
        <v>10.181728642584252</v>
      </c>
    </row>
    <row r="89" spans="1:46" ht="15.75" customHeight="1">
      <c r="Q89" s="230">
        <f t="shared" si="15"/>
        <v>14.5</v>
      </c>
      <c r="R89" s="230"/>
      <c r="S89" s="209">
        <f t="shared" si="16"/>
        <v>145</v>
      </c>
      <c r="T89" s="209"/>
      <c r="U89" s="231">
        <f t="shared" si="13"/>
        <v>1.8214499343337887E-3</v>
      </c>
      <c r="V89" s="231"/>
      <c r="W89" s="231">
        <f t="shared" si="14"/>
        <v>7.8688519080656674</v>
      </c>
      <c r="X89" s="231"/>
      <c r="Z89" s="71"/>
      <c r="AA89" s="73"/>
      <c r="AB89" s="72"/>
      <c r="AC89" s="6"/>
      <c r="AD89" s="6"/>
      <c r="AE89" s="135"/>
      <c r="AF89" s="159">
        <f t="shared" si="7"/>
        <v>47</v>
      </c>
      <c r="AG89" s="158">
        <f t="shared" si="8"/>
        <v>9.9993435488590805</v>
      </c>
      <c r="AH89" s="158">
        <f t="shared" si="9"/>
        <v>12</v>
      </c>
      <c r="AI89" s="167">
        <f t="shared" si="3"/>
        <v>0.29425589641671884</v>
      </c>
      <c r="AJ89" s="167">
        <f t="shared" si="10"/>
        <v>1.5480000000000001E-2</v>
      </c>
      <c r="AK89" s="158">
        <f t="shared" si="4"/>
        <v>10.745670528</v>
      </c>
      <c r="AL89" s="158">
        <f t="shared" si="11"/>
        <v>0.55527174393395562</v>
      </c>
      <c r="AM89" s="158">
        <f t="shared" si="12"/>
        <v>10.190398784066044</v>
      </c>
    </row>
    <row r="90" spans="1:46" ht="15.75" customHeight="1">
      <c r="Q90" s="230">
        <f t="shared" si="15"/>
        <v>15</v>
      </c>
      <c r="R90" s="230"/>
      <c r="S90" s="209">
        <f t="shared" si="16"/>
        <v>150</v>
      </c>
      <c r="T90" s="209"/>
      <c r="U90" s="231">
        <f t="shared" si="13"/>
        <v>1.377949818203762E-3</v>
      </c>
      <c r="V90" s="231"/>
      <c r="W90" s="231">
        <f t="shared" si="14"/>
        <v>7.8692954081817978</v>
      </c>
      <c r="X90" s="231"/>
      <c r="Z90" s="71"/>
      <c r="AA90" s="73"/>
      <c r="AB90" s="72"/>
      <c r="AC90" s="6"/>
      <c r="AD90" s="6"/>
      <c r="AE90" s="135"/>
      <c r="AF90" s="159">
        <f t="shared" si="7"/>
        <v>48</v>
      </c>
      <c r="AG90" s="158">
        <f t="shared" si="8"/>
        <v>9.845745625862131</v>
      </c>
      <c r="AH90" s="158">
        <f t="shared" si="9"/>
        <v>12</v>
      </c>
      <c r="AI90" s="167">
        <f t="shared" si="3"/>
        <v>0.29425589641671884</v>
      </c>
      <c r="AJ90" s="167">
        <f t="shared" si="10"/>
        <v>1.5480000000000001E-2</v>
      </c>
      <c r="AK90" s="158">
        <f t="shared" si="4"/>
        <v>10.745670528</v>
      </c>
      <c r="AL90" s="158">
        <f t="shared" si="11"/>
        <v>0.54673670548182862</v>
      </c>
      <c r="AM90" s="158">
        <f t="shared" si="12"/>
        <v>10.198933822518171</v>
      </c>
    </row>
    <row r="91" spans="1:46" ht="15.75" customHeight="1">
      <c r="Q91" s="230">
        <f t="shared" si="15"/>
        <v>15.5</v>
      </c>
      <c r="R91" s="230"/>
      <c r="S91" s="209">
        <f t="shared" si="16"/>
        <v>155</v>
      </c>
      <c r="T91" s="209"/>
      <c r="U91" s="231">
        <f t="shared" si="13"/>
        <v>1.0424363940490448E-3</v>
      </c>
      <c r="V91" s="231"/>
      <c r="W91" s="231">
        <f t="shared" si="14"/>
        <v>7.8696309216059523</v>
      </c>
      <c r="X91" s="231"/>
      <c r="Z91" s="71"/>
      <c r="AA91" s="73"/>
      <c r="AB91" s="72"/>
      <c r="AC91" s="6"/>
      <c r="AD91" s="6"/>
      <c r="AE91" s="135"/>
      <c r="AF91" s="159">
        <f t="shared" si="7"/>
        <v>49</v>
      </c>
      <c r="AG91" s="158">
        <f t="shared" si="8"/>
        <v>9.6945070899423147</v>
      </c>
      <c r="AH91" s="158">
        <f t="shared" si="9"/>
        <v>12</v>
      </c>
      <c r="AI91" s="167">
        <f t="shared" si="3"/>
        <v>0.29425589641671884</v>
      </c>
      <c r="AJ91" s="167">
        <f t="shared" si="10"/>
        <v>1.5480000000000001E-2</v>
      </c>
      <c r="AK91" s="158">
        <f t="shared" si="4"/>
        <v>10.745670528</v>
      </c>
      <c r="AL91" s="158">
        <f t="shared" si="11"/>
        <v>0.53833420464139436</v>
      </c>
      <c r="AM91" s="158">
        <f t="shared" si="12"/>
        <v>10.207336323358605</v>
      </c>
    </row>
    <row r="92" spans="1:46" ht="15.75" customHeight="1">
      <c r="Q92" s="230">
        <f t="shared" si="15"/>
        <v>16</v>
      </c>
      <c r="R92" s="230"/>
      <c r="S92" s="209">
        <f t="shared" si="16"/>
        <v>160</v>
      </c>
      <c r="T92" s="209"/>
      <c r="U92" s="231">
        <f t="shared" si="13"/>
        <v>7.8861626256790396E-4</v>
      </c>
      <c r="V92" s="231"/>
      <c r="W92" s="231">
        <f t="shared" si="14"/>
        <v>7.8698847417374331</v>
      </c>
      <c r="X92" s="231"/>
      <c r="Z92" s="71"/>
      <c r="AA92" s="73"/>
      <c r="AB92" s="72"/>
      <c r="AC92" s="6"/>
      <c r="AD92" s="6"/>
      <c r="AE92" s="135"/>
      <c r="AF92" s="159">
        <f t="shared" si="7"/>
        <v>50</v>
      </c>
      <c r="AG92" s="158">
        <f t="shared" si="8"/>
        <v>9.5455916990250547</v>
      </c>
      <c r="AH92" s="158">
        <f t="shared" si="9"/>
        <v>12</v>
      </c>
      <c r="AI92" s="167">
        <f t="shared" si="3"/>
        <v>0.29425589641671884</v>
      </c>
      <c r="AJ92" s="167">
        <f t="shared" si="10"/>
        <v>1.5480000000000001E-2</v>
      </c>
      <c r="AK92" s="158">
        <f t="shared" si="4"/>
        <v>10.745670528</v>
      </c>
      <c r="AL92" s="158">
        <f t="shared" si="11"/>
        <v>0.53006184034195414</v>
      </c>
      <c r="AM92" s="158">
        <f t="shared" si="12"/>
        <v>10.215608687658046</v>
      </c>
    </row>
    <row r="93" spans="1:46" ht="15.75" customHeight="1">
      <c r="Q93" s="230">
        <f t="shared" si="15"/>
        <v>16.5</v>
      </c>
      <c r="R93" s="230"/>
      <c r="S93" s="209">
        <f t="shared" si="16"/>
        <v>165</v>
      </c>
      <c r="T93" s="209"/>
      <c r="U93" s="231">
        <f t="shared" si="13"/>
        <v>5.9659813599841484E-4</v>
      </c>
      <c r="V93" s="231"/>
      <c r="W93" s="231">
        <f t="shared" si="14"/>
        <v>7.8700767598640029</v>
      </c>
      <c r="X93" s="231"/>
      <c r="Z93" s="71"/>
      <c r="AA93" s="73"/>
      <c r="AB93" s="72"/>
      <c r="AC93" s="6"/>
      <c r="AD93" s="6"/>
      <c r="AE93" s="135"/>
      <c r="AF93" s="159">
        <f t="shared" si="7"/>
        <v>51</v>
      </c>
      <c r="AG93" s="158">
        <f t="shared" si="8"/>
        <v>9.3989637677430604</v>
      </c>
      <c r="AH93" s="158">
        <f t="shared" si="9"/>
        <v>12</v>
      </c>
      <c r="AI93" s="167">
        <f t="shared" si="3"/>
        <v>0.29425589641671884</v>
      </c>
      <c r="AJ93" s="167">
        <f t="shared" si="10"/>
        <v>1.5480000000000001E-2</v>
      </c>
      <c r="AK93" s="158">
        <f t="shared" si="4"/>
        <v>10.745670528</v>
      </c>
      <c r="AL93" s="158">
        <f t="shared" si="11"/>
        <v>0.52191734148649438</v>
      </c>
      <c r="AM93" s="158">
        <f t="shared" si="12"/>
        <v>10.223753186513505</v>
      </c>
    </row>
    <row r="94" spans="1:46" ht="15.75" customHeight="1">
      <c r="Q94" s="230">
        <f t="shared" si="15"/>
        <v>17</v>
      </c>
      <c r="R94" s="230"/>
      <c r="S94" s="209">
        <f t="shared" si="16"/>
        <v>170</v>
      </c>
      <c r="T94" s="209"/>
      <c r="U94" s="231">
        <f t="shared" si="13"/>
        <v>4.5133400459914605E-4</v>
      </c>
      <c r="V94" s="231"/>
      <c r="W94" s="231">
        <f t="shared" si="14"/>
        <v>7.8702220239954022</v>
      </c>
      <c r="X94" s="231"/>
      <c r="Z94" s="71"/>
      <c r="AA94" s="73"/>
      <c r="AB94" s="72"/>
      <c r="AC94" s="6"/>
      <c r="AD94" s="6"/>
      <c r="AE94" s="135"/>
      <c r="AF94" s="159">
        <f t="shared" si="7"/>
        <v>52</v>
      </c>
      <c r="AG94" s="158">
        <f t="shared" si="8"/>
        <v>9.2545881588848538</v>
      </c>
      <c r="AH94" s="158">
        <f t="shared" si="9"/>
        <v>12</v>
      </c>
      <c r="AI94" s="167">
        <f t="shared" si="3"/>
        <v>0.29425589641671884</v>
      </c>
      <c r="AJ94" s="167">
        <f t="shared" si="10"/>
        <v>1.5480000000000001E-2</v>
      </c>
      <c r="AK94" s="158">
        <f t="shared" si="4"/>
        <v>10.745670528</v>
      </c>
      <c r="AL94" s="158">
        <f t="shared" si="11"/>
        <v>0.51389854122488643</v>
      </c>
      <c r="AM94" s="158">
        <f t="shared" si="12"/>
        <v>10.231771986775113</v>
      </c>
    </row>
    <row r="95" spans="1:46" ht="15.75" customHeight="1">
      <c r="Q95" s="230">
        <f t="shared" si="15"/>
        <v>17.5</v>
      </c>
      <c r="R95" s="230"/>
      <c r="S95" s="209">
        <f t="shared" si="16"/>
        <v>175</v>
      </c>
      <c r="T95" s="209"/>
      <c r="U95" s="231">
        <f t="shared" si="13"/>
        <v>3.4143985945682355E-4</v>
      </c>
      <c r="V95" s="231"/>
      <c r="W95" s="231">
        <f t="shared" si="14"/>
        <v>7.8703319181405442</v>
      </c>
      <c r="X95" s="231"/>
      <c r="Z95" s="71"/>
      <c r="AA95" s="73"/>
      <c r="AB95" s="72"/>
      <c r="AC95" s="6"/>
      <c r="AD95" s="6"/>
      <c r="AE95" s="135"/>
      <c r="AF95" s="159">
        <f t="shared" si="7"/>
        <v>53</v>
      </c>
      <c r="AG95" s="158">
        <f t="shared" si="8"/>
        <v>9.112430274974658</v>
      </c>
      <c r="AH95" s="158">
        <f t="shared" si="9"/>
        <v>12</v>
      </c>
      <c r="AI95" s="167">
        <f t="shared" si="3"/>
        <v>0.29425589641671884</v>
      </c>
      <c r="AJ95" s="167">
        <f t="shared" si="10"/>
        <v>1.5480000000000001E-2</v>
      </c>
      <c r="AK95" s="158">
        <f t="shared" si="4"/>
        <v>10.745670528</v>
      </c>
      <c r="AL95" s="158">
        <f t="shared" si="11"/>
        <v>0.50600335767146731</v>
      </c>
      <c r="AM95" s="158">
        <f t="shared" si="12"/>
        <v>10.239667170328532</v>
      </c>
    </row>
    <row r="96" spans="1:46" ht="15.75" customHeight="1">
      <c r="Q96" s="230">
        <f t="shared" si="15"/>
        <v>18</v>
      </c>
      <c r="R96" s="230"/>
      <c r="S96" s="209">
        <f t="shared" si="16"/>
        <v>180</v>
      </c>
      <c r="T96" s="209"/>
      <c r="U96" s="231">
        <f t="shared" si="13"/>
        <v>2.5830355443622597E-4</v>
      </c>
      <c r="V96" s="231"/>
      <c r="W96" s="231">
        <f t="shared" si="14"/>
        <v>7.8704150544455649</v>
      </c>
      <c r="X96" s="231"/>
      <c r="Z96" s="71"/>
      <c r="AA96" s="73"/>
      <c r="AB96" s="72"/>
      <c r="AC96" s="6"/>
      <c r="AD96" s="6"/>
      <c r="AE96" s="135"/>
      <c r="AF96" s="159">
        <f t="shared" si="7"/>
        <v>54</v>
      </c>
      <c r="AG96" s="158">
        <f t="shared" si="8"/>
        <v>8.972456049981627</v>
      </c>
      <c r="AH96" s="158">
        <f t="shared" si="9"/>
        <v>12</v>
      </c>
      <c r="AI96" s="167">
        <f t="shared" si="3"/>
        <v>0.29425589641671884</v>
      </c>
      <c r="AJ96" s="167">
        <f t="shared" si="10"/>
        <v>1.5480000000000001E-2</v>
      </c>
      <c r="AK96" s="158">
        <f t="shared" si="4"/>
        <v>10.745670528</v>
      </c>
      <c r="AL96" s="158">
        <f t="shared" si="11"/>
        <v>0.49822977942596935</v>
      </c>
      <c r="AM96" s="158">
        <f t="shared" si="12"/>
        <v>10.24744074857403</v>
      </c>
    </row>
    <row r="97" spans="17:39" ht="15.75" customHeight="1">
      <c r="Q97" s="230">
        <f t="shared" si="15"/>
        <v>18.5</v>
      </c>
      <c r="R97" s="230"/>
      <c r="S97" s="209">
        <f t="shared" si="16"/>
        <v>185</v>
      </c>
      <c r="T97" s="209"/>
      <c r="U97" s="231">
        <f t="shared" si="13"/>
        <v>1.9540989250795303E-4</v>
      </c>
      <c r="V97" s="231"/>
      <c r="W97" s="231">
        <f t="shared" si="14"/>
        <v>7.8704779481074931</v>
      </c>
      <c r="X97" s="231"/>
      <c r="Z97" s="71"/>
      <c r="AA97" s="73"/>
      <c r="AB97" s="72"/>
      <c r="AC97" s="6"/>
      <c r="AD97" s="6"/>
      <c r="AE97" s="135"/>
      <c r="AF97" s="159">
        <f t="shared" si="7"/>
        <v>55</v>
      </c>
      <c r="AG97" s="158">
        <f t="shared" si="8"/>
        <v>8.8346319411564203</v>
      </c>
      <c r="AH97" s="158">
        <f t="shared" si="9"/>
        <v>12</v>
      </c>
      <c r="AI97" s="167">
        <f t="shared" si="3"/>
        <v>0.29425589641671884</v>
      </c>
      <c r="AJ97" s="167">
        <f t="shared" si="10"/>
        <v>1.5480000000000001E-2</v>
      </c>
      <c r="AK97" s="158">
        <f t="shared" si="4"/>
        <v>10.745670528</v>
      </c>
      <c r="AL97" s="158">
        <f t="shared" si="11"/>
        <v>0.49057585467509668</v>
      </c>
      <c r="AM97" s="158">
        <f t="shared" si="12"/>
        <v>10.255094673324903</v>
      </c>
    </row>
    <row r="98" spans="17:39" ht="15.75" customHeight="1">
      <c r="Q98" s="230">
        <f t="shared" si="15"/>
        <v>19</v>
      </c>
      <c r="R98" s="230"/>
      <c r="S98" s="209">
        <f t="shared" si="16"/>
        <v>190</v>
      </c>
      <c r="T98" s="209"/>
      <c r="U98" s="231">
        <f t="shared" si="13"/>
        <v>1.4783004505420933E-4</v>
      </c>
      <c r="V98" s="231"/>
      <c r="W98" s="231">
        <f t="shared" si="14"/>
        <v>7.8705255279549471</v>
      </c>
      <c r="X98" s="231"/>
      <c r="Z98" s="71"/>
      <c r="AA98" s="73"/>
      <c r="AB98" s="72"/>
      <c r="AC98" s="6"/>
      <c r="AD98" s="6"/>
      <c r="AE98" s="135"/>
      <c r="AF98" s="159">
        <f t="shared" si="7"/>
        <v>56</v>
      </c>
      <c r="AG98" s="158">
        <f t="shared" si="8"/>
        <v>8.6989249209931856</v>
      </c>
      <c r="AH98" s="158">
        <f t="shared" si="9"/>
        <v>12</v>
      </c>
      <c r="AI98" s="167">
        <f t="shared" si="3"/>
        <v>0.29425589641671884</v>
      </c>
      <c r="AJ98" s="167">
        <f t="shared" si="10"/>
        <v>1.5480000000000001E-2</v>
      </c>
      <c r="AK98" s="158">
        <f t="shared" si="4"/>
        <v>10.745670528</v>
      </c>
      <c r="AL98" s="158">
        <f t="shared" si="11"/>
        <v>0.48303968296366406</v>
      </c>
      <c r="AM98" s="158">
        <f t="shared" si="12"/>
        <v>10.262630845036336</v>
      </c>
    </row>
    <row r="99" spans="17:39" ht="15.75" customHeight="1">
      <c r="Q99" s="230">
        <f t="shared" si="15"/>
        <v>19.5</v>
      </c>
      <c r="R99" s="230"/>
      <c r="S99" s="209">
        <f t="shared" si="16"/>
        <v>195</v>
      </c>
      <c r="T99" s="209"/>
      <c r="U99" s="231">
        <f t="shared" si="13"/>
        <v>1.1183529114238741E-4</v>
      </c>
      <c r="V99" s="231"/>
      <c r="W99" s="231">
        <f t="shared" si="14"/>
        <v>7.8705615227088588</v>
      </c>
      <c r="X99" s="231"/>
      <c r="Z99" s="71"/>
      <c r="AA99" s="73"/>
      <c r="AB99" s="72"/>
      <c r="AC99" s="6"/>
      <c r="AD99" s="6"/>
      <c r="AE99" s="135"/>
      <c r="AF99" s="159">
        <f t="shared" si="7"/>
        <v>57</v>
      </c>
      <c r="AG99" s="158">
        <f t="shared" si="8"/>
        <v>8.5653024693150055</v>
      </c>
      <c r="AH99" s="158">
        <f t="shared" si="9"/>
        <v>12</v>
      </c>
      <c r="AI99" s="167">
        <f t="shared" si="3"/>
        <v>0.29425589641671884</v>
      </c>
      <c r="AJ99" s="167">
        <f t="shared" si="10"/>
        <v>1.5480000000000001E-2</v>
      </c>
      <c r="AK99" s="158">
        <f t="shared" si="4"/>
        <v>10.745670528</v>
      </c>
      <c r="AL99" s="158">
        <f t="shared" si="11"/>
        <v>0.47561940895647226</v>
      </c>
      <c r="AM99" s="158">
        <f t="shared" si="12"/>
        <v>10.270051119043528</v>
      </c>
    </row>
    <row r="100" spans="17:39" ht="15.75" customHeight="1">
      <c r="Q100" s="230">
        <f t="shared" si="15"/>
        <v>20</v>
      </c>
      <c r="R100" s="230"/>
      <c r="S100" s="209">
        <f t="shared" si="16"/>
        <v>200</v>
      </c>
      <c r="T100" s="209"/>
      <c r="U100" s="231">
        <f t="shared" si="13"/>
        <v>8.4604806420211863E-5</v>
      </c>
      <c r="V100" s="231"/>
      <c r="W100" s="231">
        <f t="shared" si="14"/>
        <v>7.870588753193581</v>
      </c>
      <c r="X100" s="231"/>
      <c r="Z100" s="71"/>
      <c r="AA100" s="73"/>
      <c r="AB100" s="72"/>
      <c r="AC100" s="6"/>
      <c r="AD100" s="6"/>
      <c r="AE100" s="135"/>
      <c r="AF100" s="159">
        <f t="shared" si="7"/>
        <v>58</v>
      </c>
      <c r="AG100" s="158">
        <f t="shared" si="8"/>
        <v>8.4337325654809145</v>
      </c>
      <c r="AH100" s="158">
        <f t="shared" si="9"/>
        <v>12</v>
      </c>
      <c r="AI100" s="167">
        <f t="shared" si="3"/>
        <v>0.29425589641671884</v>
      </c>
      <c r="AJ100" s="167">
        <f t="shared" si="10"/>
        <v>1.5480000000000001E-2</v>
      </c>
      <c r="AK100" s="158">
        <f t="shared" si="4"/>
        <v>10.745670528</v>
      </c>
      <c r="AL100" s="158">
        <f t="shared" si="11"/>
        <v>0.46831321768509326</v>
      </c>
      <c r="AM100" s="158">
        <f t="shared" si="12"/>
        <v>10.277357310314907</v>
      </c>
    </row>
    <row r="101" spans="17:39" ht="15.75" customHeight="1">
      <c r="AF101" s="159">
        <f t="shared" si="7"/>
        <v>59</v>
      </c>
      <c r="AG101" s="158">
        <f t="shared" si="8"/>
        <v>8.304183680712633</v>
      </c>
      <c r="AH101" s="158">
        <f t="shared" si="9"/>
        <v>12</v>
      </c>
      <c r="AI101" s="167">
        <f t="shared" si="3"/>
        <v>0.29425589641671884</v>
      </c>
      <c r="AJ101" s="167">
        <f t="shared" si="10"/>
        <v>1.5480000000000001E-2</v>
      </c>
      <c r="AK101" s="158">
        <f t="shared" si="4"/>
        <v>10.745670528</v>
      </c>
      <c r="AL101" s="158">
        <f t="shared" si="11"/>
        <v>0.46111933090264756</v>
      </c>
      <c r="AM101" s="158">
        <f t="shared" si="12"/>
        <v>10.284551197097352</v>
      </c>
    </row>
    <row r="102" spans="17:39" ht="15.75" customHeight="1">
      <c r="AF102" s="159">
        <f t="shared" si="7"/>
        <v>60</v>
      </c>
      <c r="AG102" s="158">
        <f t="shared" si="8"/>
        <v>8.1766247705391599</v>
      </c>
      <c r="AH102" s="158">
        <f t="shared" si="9"/>
        <v>12</v>
      </c>
      <c r="AI102" s="167">
        <f t="shared" si="3"/>
        <v>0.29425589641671884</v>
      </c>
      <c r="AJ102" s="167">
        <f t="shared" si="10"/>
        <v>1.5480000000000001E-2</v>
      </c>
      <c r="AK102" s="158">
        <f t="shared" si="4"/>
        <v>10.745670528</v>
      </c>
      <c r="AL102" s="158">
        <f t="shared" si="11"/>
        <v>0.45403600426573831</v>
      </c>
      <c r="AM102" s="158">
        <f t="shared" si="12"/>
        <v>10.291634523734261</v>
      </c>
    </row>
    <row r="103" spans="17:39" ht="15.75" customHeight="1">
      <c r="AF103" s="159">
        <f t="shared" si="7"/>
        <v>61</v>
      </c>
      <c r="AG103" s="158">
        <f t="shared" si="8"/>
        <v>8.0510252673574225</v>
      </c>
      <c r="AH103" s="158">
        <f t="shared" si="9"/>
        <v>12</v>
      </c>
      <c r="AI103" s="167">
        <f t="shared" si="3"/>
        <v>0.29425589641671884</v>
      </c>
      <c r="AJ103" s="167">
        <f t="shared" si="10"/>
        <v>1.5480000000000001E-2</v>
      </c>
      <c r="AK103" s="158">
        <f t="shared" si="4"/>
        <v>10.745670528</v>
      </c>
      <c r="AL103" s="158">
        <f t="shared" si="11"/>
        <v>0.44706152513424335</v>
      </c>
      <c r="AM103" s="158">
        <f t="shared" si="12"/>
        <v>10.298609002865756</v>
      </c>
    </row>
    <row r="104" spans="17:39" ht="15.75" customHeight="1">
      <c r="AF104" s="159">
        <f t="shared" si="7"/>
        <v>62</v>
      </c>
      <c r="AG104" s="158">
        <f t="shared" si="8"/>
        <v>7.927355073107206</v>
      </c>
      <c r="AH104" s="158">
        <f t="shared" si="9"/>
        <v>12</v>
      </c>
      <c r="AI104" s="167">
        <f t="shared" si="3"/>
        <v>0.29425589641671884</v>
      </c>
      <c r="AJ104" s="167">
        <f t="shared" si="10"/>
        <v>1.5480000000000001E-2</v>
      </c>
      <c r="AK104" s="158">
        <f t="shared" si="4"/>
        <v>10.745670528</v>
      </c>
      <c r="AL104" s="158">
        <f t="shared" si="11"/>
        <v>0.44019421083300969</v>
      </c>
      <c r="AM104" s="158">
        <f t="shared" si="12"/>
        <v>10.30547631716699</v>
      </c>
    </row>
    <row r="105" spans="17:39" ht="15.75" customHeight="1">
      <c r="AF105" s="159">
        <f t="shared" si="7"/>
        <v>63</v>
      </c>
      <c r="AG105" s="158">
        <f t="shared" si="8"/>
        <v>7.8055845520585994</v>
      </c>
      <c r="AH105" s="158">
        <f t="shared" si="9"/>
        <v>12</v>
      </c>
      <c r="AI105" s="167">
        <f t="shared" si="3"/>
        <v>0.29425589641671884</v>
      </c>
      <c r="AJ105" s="167">
        <f t="shared" si="10"/>
        <v>1.5480000000000001E-2</v>
      </c>
      <c r="AK105" s="158">
        <f t="shared" si="4"/>
        <v>10.745670528</v>
      </c>
      <c r="AL105" s="158">
        <f t="shared" si="11"/>
        <v>0.43343240725923771</v>
      </c>
      <c r="AM105" s="158">
        <f t="shared" si="12"/>
        <v>10.312238120740762</v>
      </c>
    </row>
    <row r="106" spans="17:39" ht="15.75" customHeight="1">
      <c r="AF106" s="159">
        <f t="shared" si="7"/>
        <v>64</v>
      </c>
      <c r="AG106" s="158">
        <f t="shared" si="8"/>
        <v>7.6856845237102318</v>
      </c>
      <c r="AH106" s="158">
        <f t="shared" si="9"/>
        <v>12</v>
      </c>
      <c r="AI106" s="167">
        <f t="shared" si="3"/>
        <v>0.29425589641671884</v>
      </c>
      <c r="AJ106" s="167">
        <f t="shared" si="10"/>
        <v>1.5480000000000001E-2</v>
      </c>
      <c r="AK106" s="158">
        <f t="shared" si="4"/>
        <v>10.745670528</v>
      </c>
      <c r="AL106" s="158">
        <f t="shared" si="11"/>
        <v>0.4267744877489168</v>
      </c>
      <c r="AM106" s="158">
        <f t="shared" si="12"/>
        <v>10.318896040251083</v>
      </c>
    </row>
    <row r="107" spans="17:39" ht="15.75" customHeight="1">
      <c r="AF107" s="159">
        <f t="shared" si="7"/>
        <v>65</v>
      </c>
      <c r="AG107" s="158">
        <f t="shared" si="8"/>
        <v>7.567626255796597</v>
      </c>
      <c r="AH107" s="158">
        <f t="shared" si="9"/>
        <v>12</v>
      </c>
      <c r="AI107" s="167">
        <f t="shared" ref="AI107:AI142" si="17">$AL$22*1.024^(AH107-20)</f>
        <v>0.29425589641671884</v>
      </c>
      <c r="AJ107" s="167">
        <f t="shared" si="10"/>
        <v>1.5480000000000001E-2</v>
      </c>
      <c r="AK107" s="158">
        <f t="shared" ref="AK107:AK142" si="18">14.652 - (0.41022*AH107) + (0.007991*AH107^2) - (0.000077774*AH107^3)</f>
        <v>10.745670528</v>
      </c>
      <c r="AL107" s="158">
        <f t="shared" si="11"/>
        <v>0.42021885213774901</v>
      </c>
      <c r="AM107" s="158">
        <f t="shared" si="12"/>
        <v>10.325451675862251</v>
      </c>
    </row>
    <row r="108" spans="17:39" ht="15.75" customHeight="1">
      <c r="AF108" s="159">
        <f t="shared" ref="AF108:AF142" si="19">+AF107+$AL$24</f>
        <v>66</v>
      </c>
      <c r="AG108" s="158">
        <f t="shared" ref="AG108:AG142" si="20">IF(AF108&lt;$AL$9,(((AG107*EXP(-$AL$21*$AL$24))*($AL$12-$AL$5*86400*$AL$24)+(2.664*$AL$7*$AL$5*86400*$AL$24))/$AL$12),(AG107*EXP(-$AL$21*$AL$24)))</f>
        <v>7.4513814574027908</v>
      </c>
      <c r="AH108" s="158">
        <f t="shared" ref="AH108:AH142" si="21">IF(AF108&lt;$AL$9,((AH107*($AL$12-$AL$5*86400*$AL$24)+($AL$8*$AL$5*86400*$AL$24))/$AL$12),AH107)</f>
        <v>12</v>
      </c>
      <c r="AI108" s="167">
        <f t="shared" si="17"/>
        <v>0.29425589641671884</v>
      </c>
      <c r="AJ108" s="167">
        <f t="shared" ref="AJ108:AJ142" si="22">$AL$20*(-0.2088+0.0604*AH108)</f>
        <v>1.5480000000000001E-2</v>
      </c>
      <c r="AK108" s="158">
        <f t="shared" si="18"/>
        <v>10.745670528</v>
      </c>
      <c r="AL108" s="158">
        <f t="shared" ref="AL108:AL142" si="23">$AL$30-AM108</f>
        <v>0.4137639259684498</v>
      </c>
      <c r="AM108" s="158">
        <f t="shared" ref="AM108:AM142" si="24">IF(AF108&lt;$AL$9,(((AK107-(AL107*EXP(-AI107*$AL$24)+(AJ107*AG107/(AI107-AJ107))*(EXP(-AJ107*$AL$24)-EXP(-AI107*$AL$24))))*($AL$12-$AL$5*86400*$AL$24)+($AL$6*$AL$5*86400*$AL$24))/$AL$12),(AK107-(AL107*EXP(-AI107*$AL$24)+(AJ107*AG107/(AI107-AJ107))*(EXP(-AJ107*$AL$24)-EXP(-AI107*$AL$24)))))</f>
        <v>10.33190660203155</v>
      </c>
    </row>
    <row r="109" spans="17:39" ht="15.75" customHeight="1">
      <c r="AF109" s="159">
        <f t="shared" si="19"/>
        <v>67</v>
      </c>
      <c r="AG109" s="158">
        <f t="shared" si="20"/>
        <v>7.3369222721850136</v>
      </c>
      <c r="AH109" s="158">
        <f t="shared" si="21"/>
        <v>12</v>
      </c>
      <c r="AI109" s="167">
        <f t="shared" si="17"/>
        <v>0.29425589641671884</v>
      </c>
      <c r="AJ109" s="167">
        <f t="shared" si="22"/>
        <v>1.5480000000000001E-2</v>
      </c>
      <c r="AK109" s="158">
        <f t="shared" si="18"/>
        <v>10.745670528</v>
      </c>
      <c r="AL109" s="158">
        <f t="shared" si="23"/>
        <v>0.40740815980852574</v>
      </c>
      <c r="AM109" s="158">
        <f t="shared" si="24"/>
        <v>10.338262368191474</v>
      </c>
    </row>
    <row r="110" spans="17:39" ht="15.75" customHeight="1">
      <c r="AF110" s="159">
        <f t="shared" si="19"/>
        <v>68</v>
      </c>
      <c r="AG110" s="158">
        <f t="shared" si="20"/>
        <v>7.2242212716952112</v>
      </c>
      <c r="AH110" s="158">
        <f t="shared" si="21"/>
        <v>12</v>
      </c>
      <c r="AI110" s="167">
        <f t="shared" si="17"/>
        <v>0.29425589641671884</v>
      </c>
      <c r="AJ110" s="167">
        <f t="shared" si="22"/>
        <v>1.5480000000000001E-2</v>
      </c>
      <c r="AK110" s="158">
        <f t="shared" si="18"/>
        <v>10.745670528</v>
      </c>
      <c r="AL110" s="158">
        <f t="shared" si="23"/>
        <v>0.40115002865177729</v>
      </c>
      <c r="AM110" s="158">
        <f t="shared" si="24"/>
        <v>10.344520499348222</v>
      </c>
    </row>
    <row r="111" spans="17:39" ht="15.75" customHeight="1">
      <c r="AF111" s="159">
        <f t="shared" si="19"/>
        <v>69</v>
      </c>
      <c r="AG111" s="158">
        <f t="shared" si="20"/>
        <v>7.113251448808251</v>
      </c>
      <c r="AH111" s="158">
        <f t="shared" si="21"/>
        <v>12</v>
      </c>
      <c r="AI111" s="167">
        <f t="shared" si="17"/>
        <v>0.29425589641671884</v>
      </c>
      <c r="AJ111" s="167">
        <f t="shared" si="22"/>
        <v>1.5480000000000001E-2</v>
      </c>
      <c r="AK111" s="158">
        <f t="shared" si="18"/>
        <v>10.745670528</v>
      </c>
      <c r="AL111" s="158">
        <f t="shared" si="23"/>
        <v>0.39498803138357452</v>
      </c>
      <c r="AM111" s="158">
        <f t="shared" si="24"/>
        <v>10.350682496616425</v>
      </c>
    </row>
    <row r="112" spans="17:39" ht="15.75" customHeight="1">
      <c r="AF112" s="159">
        <f t="shared" si="19"/>
        <v>70</v>
      </c>
      <c r="AG112" s="158">
        <f t="shared" si="20"/>
        <v>7.0039862112500666</v>
      </c>
      <c r="AH112" s="158">
        <f t="shared" si="21"/>
        <v>12</v>
      </c>
      <c r="AI112" s="167">
        <f t="shared" si="17"/>
        <v>0.29425589641671884</v>
      </c>
      <c r="AJ112" s="167">
        <f t="shared" si="22"/>
        <v>1.5480000000000001E-2</v>
      </c>
      <c r="AK112" s="158">
        <f t="shared" si="18"/>
        <v>10.745670528</v>
      </c>
      <c r="AL112" s="158">
        <f t="shared" si="23"/>
        <v>0.38892069029500931</v>
      </c>
      <c r="AM112" s="158">
        <f t="shared" si="24"/>
        <v>10.35674983770499</v>
      </c>
    </row>
    <row r="113" spans="32:39" ht="15.75" customHeight="1">
      <c r="AF113" s="159">
        <f t="shared" si="19"/>
        <v>71</v>
      </c>
      <c r="AG113" s="158">
        <f t="shared" si="20"/>
        <v>6.8963993752252133</v>
      </c>
      <c r="AH113" s="158">
        <f t="shared" si="21"/>
        <v>12</v>
      </c>
      <c r="AI113" s="167">
        <f t="shared" si="17"/>
        <v>0.29425589641671884</v>
      </c>
      <c r="AJ113" s="167">
        <f t="shared" si="22"/>
        <v>1.5480000000000001E-2</v>
      </c>
      <c r="AK113" s="158">
        <f t="shared" si="18"/>
        <v>10.745670528</v>
      </c>
      <c r="AL113" s="158">
        <f t="shared" si="23"/>
        <v>0.38294655063480931</v>
      </c>
      <c r="AM113" s="158">
        <f t="shared" si="24"/>
        <v>10.36272397736519</v>
      </c>
    </row>
    <row r="114" spans="32:39" ht="15.75" customHeight="1">
      <c r="AF114" s="159">
        <f t="shared" si="19"/>
        <v>72</v>
      </c>
      <c r="AG114" s="158">
        <f t="shared" si="20"/>
        <v>6.7904651591423075</v>
      </c>
      <c r="AH114" s="158">
        <f t="shared" si="21"/>
        <v>12</v>
      </c>
      <c r="AI114" s="167">
        <f t="shared" si="17"/>
        <v>0.29425589641671884</v>
      </c>
      <c r="AJ114" s="167">
        <f t="shared" si="22"/>
        <v>1.5480000000000001E-2</v>
      </c>
      <c r="AK114" s="158">
        <f t="shared" si="18"/>
        <v>10.745670528</v>
      </c>
      <c r="AL114" s="158">
        <f t="shared" si="23"/>
        <v>0.37706418019070576</v>
      </c>
      <c r="AM114" s="158">
        <f t="shared" si="24"/>
        <v>10.368606347809294</v>
      </c>
    </row>
    <row r="115" spans="32:39" ht="15.75" customHeight="1">
      <c r="AF115" s="159">
        <f t="shared" si="19"/>
        <v>73</v>
      </c>
      <c r="AG115" s="158">
        <f t="shared" si="20"/>
        <v>6.6861581774358525</v>
      </c>
      <c r="AH115" s="158">
        <f t="shared" si="21"/>
        <v>12</v>
      </c>
      <c r="AI115" s="167">
        <f t="shared" si="17"/>
        <v>0.29425589641671884</v>
      </c>
      <c r="AJ115" s="167">
        <f t="shared" si="22"/>
        <v>1.5480000000000001E-2</v>
      </c>
      <c r="AK115" s="158">
        <f t="shared" si="18"/>
        <v>10.745670528</v>
      </c>
      <c r="AL115" s="158">
        <f t="shared" si="23"/>
        <v>0.3712721688940519</v>
      </c>
      <c r="AM115" s="158">
        <f t="shared" si="24"/>
        <v>10.374398359105948</v>
      </c>
    </row>
    <row r="116" spans="32:39" ht="15.75" customHeight="1">
      <c r="AF116" s="159">
        <f t="shared" si="19"/>
        <v>74</v>
      </c>
      <c r="AG116" s="158">
        <f t="shared" si="20"/>
        <v>6.5834534344829621</v>
      </c>
      <c r="AH116" s="158">
        <f t="shared" si="21"/>
        <v>12</v>
      </c>
      <c r="AI116" s="167">
        <f t="shared" si="17"/>
        <v>0.29425589641671884</v>
      </c>
      <c r="AJ116" s="167">
        <f t="shared" si="22"/>
        <v>1.5480000000000001E-2</v>
      </c>
      <c r="AK116" s="158">
        <f t="shared" si="18"/>
        <v>10.745670528</v>
      </c>
      <c r="AL116" s="158">
        <f t="shared" si="23"/>
        <v>0.36556912844305245</v>
      </c>
      <c r="AM116" s="158">
        <f t="shared" si="24"/>
        <v>10.380101399556947</v>
      </c>
    </row>
    <row r="117" spans="32:39" ht="15.75" customHeight="1">
      <c r="AF117" s="159">
        <f t="shared" si="19"/>
        <v>75</v>
      </c>
      <c r="AG117" s="158">
        <f t="shared" si="20"/>
        <v>6.4823263186135316</v>
      </c>
      <c r="AH117" s="158">
        <f t="shared" si="21"/>
        <v>12</v>
      </c>
      <c r="AI117" s="167">
        <f t="shared" si="17"/>
        <v>0.29425589641671884</v>
      </c>
      <c r="AJ117" s="167">
        <f t="shared" si="22"/>
        <v>1.5480000000000001E-2</v>
      </c>
      <c r="AK117" s="158">
        <f t="shared" si="18"/>
        <v>10.745670528</v>
      </c>
      <c r="AL117" s="158">
        <f t="shared" si="23"/>
        <v>0.35995369194111326</v>
      </c>
      <c r="AM117" s="158">
        <f t="shared" si="24"/>
        <v>10.385716836058887</v>
      </c>
    </row>
    <row r="118" spans="32:39" ht="15.75" customHeight="1">
      <c r="AF118" s="159">
        <f t="shared" si="19"/>
        <v>76</v>
      </c>
      <c r="AG118" s="158">
        <f t="shared" si="20"/>
        <v>6.3827525962124145</v>
      </c>
      <c r="AH118" s="158">
        <f t="shared" si="21"/>
        <v>12</v>
      </c>
      <c r="AI118" s="167">
        <f t="shared" si="17"/>
        <v>0.29425589641671884</v>
      </c>
      <c r="AJ118" s="167">
        <f t="shared" si="22"/>
        <v>1.5480000000000001E-2</v>
      </c>
      <c r="AK118" s="158">
        <f t="shared" si="18"/>
        <v>10.745670528</v>
      </c>
      <c r="AL118" s="158">
        <f t="shared" si="23"/>
        <v>0.35442451354770377</v>
      </c>
      <c r="AM118" s="158">
        <f t="shared" si="24"/>
        <v>10.391246014452296</v>
      </c>
    </row>
    <row r="119" spans="32:39" ht="15.75" customHeight="1">
      <c r="AF119" s="159">
        <f t="shared" si="19"/>
        <v>77</v>
      </c>
      <c r="AG119" s="158">
        <f t="shared" si="20"/>
        <v>6.2847084059121956</v>
      </c>
      <c r="AH119" s="158">
        <f t="shared" si="21"/>
        <v>12</v>
      </c>
      <c r="AI119" s="167">
        <f t="shared" si="17"/>
        <v>0.29425589641671884</v>
      </c>
      <c r="AJ119" s="167">
        <f t="shared" si="22"/>
        <v>1.5480000000000001E-2</v>
      </c>
      <c r="AK119" s="158">
        <f t="shared" si="18"/>
        <v>10.745670528</v>
      </c>
      <c r="AL119" s="158">
        <f t="shared" si="23"/>
        <v>0.34898026813976735</v>
      </c>
      <c r="AM119" s="158">
        <f t="shared" si="24"/>
        <v>10.396690259860232</v>
      </c>
    </row>
    <row r="120" spans="32:39" ht="15.75" customHeight="1">
      <c r="AF120" s="159">
        <f t="shared" si="19"/>
        <v>78</v>
      </c>
      <c r="AG120" s="158">
        <f t="shared" si="20"/>
        <v>6.1881702528751674</v>
      </c>
      <c r="AH120" s="158">
        <f t="shared" si="21"/>
        <v>12</v>
      </c>
      <c r="AI120" s="167">
        <f t="shared" si="17"/>
        <v>0.29425589641671884</v>
      </c>
      <c r="AJ120" s="167">
        <f t="shared" si="22"/>
        <v>1.5480000000000001E-2</v>
      </c>
      <c r="AK120" s="158">
        <f t="shared" si="18"/>
        <v>10.745670528</v>
      </c>
      <c r="AL120" s="158">
        <f t="shared" si="23"/>
        <v>0.34361965098220004</v>
      </c>
      <c r="AM120" s="158">
        <f t="shared" si="24"/>
        <v>10.4020508770178</v>
      </c>
    </row>
    <row r="121" spans="32:39" ht="15.75" customHeight="1">
      <c r="AF121" s="159">
        <f t="shared" si="19"/>
        <v>79</v>
      </c>
      <c r="AG121" s="158">
        <f t="shared" si="20"/>
        <v>6.0931150031631418</v>
      </c>
      <c r="AH121" s="158">
        <f t="shared" si="21"/>
        <v>12</v>
      </c>
      <c r="AI121" s="167">
        <f t="shared" si="17"/>
        <v>0.29425589641671884</v>
      </c>
      <c r="AJ121" s="167">
        <f t="shared" si="22"/>
        <v>1.5480000000000001E-2</v>
      </c>
      <c r="AK121" s="158">
        <f t="shared" si="18"/>
        <v>10.745670528</v>
      </c>
      <c r="AL121" s="158">
        <f t="shared" si="23"/>
        <v>0.33834137740625359</v>
      </c>
      <c r="AM121" s="158">
        <f t="shared" si="24"/>
        <v>10.407329150593746</v>
      </c>
    </row>
    <row r="122" spans="32:39" ht="15.75" customHeight="1">
      <c r="AF122" s="159">
        <f t="shared" si="19"/>
        <v>80</v>
      </c>
      <c r="AG122" s="158">
        <f t="shared" si="20"/>
        <v>5.9995198781937447</v>
      </c>
      <c r="AH122" s="158">
        <f t="shared" si="21"/>
        <v>12</v>
      </c>
      <c r="AI122" s="167">
        <f t="shared" si="17"/>
        <v>0.29425589641671884</v>
      </c>
      <c r="AJ122" s="167">
        <f t="shared" si="22"/>
        <v>1.5480000000000001E-2</v>
      </c>
      <c r="AK122" s="158">
        <f t="shared" si="18"/>
        <v>10.745670528</v>
      </c>
      <c r="AL122" s="158">
        <f t="shared" si="23"/>
        <v>0.33314418249504385</v>
      </c>
      <c r="AM122" s="158">
        <f t="shared" si="24"/>
        <v>10.412526345504956</v>
      </c>
    </row>
    <row r="123" spans="32:39" ht="15.75" customHeight="1">
      <c r="AF123" s="159">
        <f t="shared" si="19"/>
        <v>81</v>
      </c>
      <c r="AG123" s="158">
        <f t="shared" si="20"/>
        <v>5.9073624492818624</v>
      </c>
      <c r="AH123" s="158">
        <f t="shared" si="21"/>
        <v>12</v>
      </c>
      <c r="AI123" s="167">
        <f t="shared" si="17"/>
        <v>0.29425589641671884</v>
      </c>
      <c r="AJ123" s="167">
        <f t="shared" si="22"/>
        <v>1.5480000000000001E-2</v>
      </c>
      <c r="AK123" s="158">
        <f t="shared" si="18"/>
        <v>10.745670528</v>
      </c>
      <c r="AL123" s="158">
        <f t="shared" si="23"/>
        <v>0.32802682077547018</v>
      </c>
      <c r="AM123" s="158">
        <f t="shared" si="24"/>
        <v>10.41764370722453</v>
      </c>
    </row>
    <row r="124" spans="32:39" ht="15.75" customHeight="1">
      <c r="AF124" s="159">
        <f t="shared" si="19"/>
        <v>82</v>
      </c>
      <c r="AG124" s="158">
        <f t="shared" si="20"/>
        <v>5.8166206322649456</v>
      </c>
      <c r="AH124" s="158">
        <f t="shared" si="21"/>
        <v>12</v>
      </c>
      <c r="AI124" s="167">
        <f t="shared" si="17"/>
        <v>0.29425589641671884</v>
      </c>
      <c r="AJ124" s="167">
        <f t="shared" si="22"/>
        <v>1.5480000000000001E-2</v>
      </c>
      <c r="AK124" s="158">
        <f t="shared" si="18"/>
        <v>10.745670528</v>
      </c>
      <c r="AL124" s="158">
        <f t="shared" si="23"/>
        <v>0.32298806591606244</v>
      </c>
      <c r="AM124" s="158">
        <f t="shared" si="24"/>
        <v>10.422682462083937</v>
      </c>
    </row>
    <row r="125" spans="32:39" ht="15.75" customHeight="1">
      <c r="AF125" s="159">
        <f t="shared" si="19"/>
        <v>83</v>
      </c>
      <c r="AG125" s="158">
        <f t="shared" si="20"/>
        <v>5.7272726822108613</v>
      </c>
      <c r="AH125" s="158">
        <f t="shared" si="21"/>
        <v>12</v>
      </c>
      <c r="AI125" s="167">
        <f t="shared" si="17"/>
        <v>0.29425589641671884</v>
      </c>
      <c r="AJ125" s="167">
        <f t="shared" si="22"/>
        <v>1.5480000000000001E-2</v>
      </c>
      <c r="AK125" s="158">
        <f t="shared" si="18"/>
        <v>10.745670528</v>
      </c>
      <c r="AL125" s="158">
        <f t="shared" si="23"/>
        <v>0.3180267104303649</v>
      </c>
      <c r="AM125" s="158">
        <f t="shared" si="24"/>
        <v>10.427643817569635</v>
      </c>
    </row>
    <row r="126" spans="32:39" ht="15.75" customHeight="1">
      <c r="AF126" s="159">
        <f t="shared" si="19"/>
        <v>84</v>
      </c>
      <c r="AG126" s="158">
        <f t="shared" si="20"/>
        <v>5.6392971882070446</v>
      </c>
      <c r="AH126" s="158">
        <f t="shared" si="21"/>
        <v>12</v>
      </c>
      <c r="AI126" s="167">
        <f t="shared" si="17"/>
        <v>0.29425589641671884</v>
      </c>
      <c r="AJ126" s="167">
        <f t="shared" si="22"/>
        <v>1.5480000000000001E-2</v>
      </c>
      <c r="AK126" s="158">
        <f t="shared" si="18"/>
        <v>10.745670528</v>
      </c>
      <c r="AL126" s="158">
        <f t="shared" si="23"/>
        <v>0.31314156538552673</v>
      </c>
      <c r="AM126" s="158">
        <f t="shared" si="24"/>
        <v>10.432528962614473</v>
      </c>
    </row>
    <row r="127" spans="32:39" ht="15.75" customHeight="1">
      <c r="AF127" s="159">
        <f t="shared" si="19"/>
        <v>85</v>
      </c>
      <c r="AG127" s="158">
        <f t="shared" si="20"/>
        <v>5.5526730682296925</v>
      </c>
      <c r="AH127" s="158">
        <f t="shared" si="21"/>
        <v>12</v>
      </c>
      <c r="AI127" s="167">
        <f t="shared" si="17"/>
        <v>0.29425589641671884</v>
      </c>
      <c r="AJ127" s="167">
        <f t="shared" si="22"/>
        <v>1.5480000000000001E-2</v>
      </c>
      <c r="AK127" s="158">
        <f t="shared" si="18"/>
        <v>10.745670528</v>
      </c>
      <c r="AL127" s="158">
        <f t="shared" si="23"/>
        <v>0.30833146011586088</v>
      </c>
      <c r="AM127" s="158">
        <f t="shared" si="24"/>
        <v>10.437339067884139</v>
      </c>
    </row>
    <row r="128" spans="32:39" ht="15.75" customHeight="1">
      <c r="AF128" s="159">
        <f t="shared" si="19"/>
        <v>86</v>
      </c>
      <c r="AG128" s="158">
        <f t="shared" si="20"/>
        <v>5.4673795640917646</v>
      </c>
      <c r="AH128" s="158">
        <f t="shared" si="21"/>
        <v>12</v>
      </c>
      <c r="AI128" s="167">
        <f t="shared" si="17"/>
        <v>0.29425589641671884</v>
      </c>
      <c r="AJ128" s="167">
        <f t="shared" si="22"/>
        <v>1.5480000000000001E-2</v>
      </c>
      <c r="AK128" s="158">
        <f t="shared" si="18"/>
        <v>10.745670528</v>
      </c>
      <c r="AL128" s="158">
        <f t="shared" si="23"/>
        <v>0.30359524194117782</v>
      </c>
      <c r="AM128" s="158">
        <f t="shared" si="24"/>
        <v>10.442075286058822</v>
      </c>
    </row>
    <row r="129" spans="32:39" ht="15.75" customHeight="1">
      <c r="AF129" s="159">
        <f t="shared" si="19"/>
        <v>87</v>
      </c>
      <c r="AG129" s="158">
        <f t="shared" si="20"/>
        <v>5.3833962364685952</v>
      </c>
      <c r="AH129" s="158">
        <f t="shared" si="21"/>
        <v>12</v>
      </c>
      <c r="AI129" s="167">
        <f t="shared" si="17"/>
        <v>0.29425589641671884</v>
      </c>
      <c r="AJ129" s="167">
        <f t="shared" si="22"/>
        <v>1.5480000000000001E-2</v>
      </c>
      <c r="AK129" s="158">
        <f t="shared" si="18"/>
        <v>10.745670528</v>
      </c>
      <c r="AL129" s="158">
        <f t="shared" si="23"/>
        <v>0.29893177588971476</v>
      </c>
      <c r="AM129" s="158">
        <f t="shared" si="24"/>
        <v>10.446738752110285</v>
      </c>
    </row>
    <row r="130" spans="32:39" ht="15.75" customHeight="1">
      <c r="AF130" s="159">
        <f t="shared" si="19"/>
        <v>88</v>
      </c>
      <c r="AG130" s="158">
        <f t="shared" si="20"/>
        <v>5.30070295999991</v>
      </c>
      <c r="AH130" s="158">
        <f t="shared" si="21"/>
        <v>12</v>
      </c>
      <c r="AI130" s="167">
        <f t="shared" si="17"/>
        <v>0.29425589641671884</v>
      </c>
      <c r="AJ130" s="167">
        <f t="shared" si="22"/>
        <v>1.5480000000000001E-2</v>
      </c>
      <c r="AK130" s="158">
        <f t="shared" si="18"/>
        <v>10.745670528</v>
      </c>
      <c r="AL130" s="158">
        <f t="shared" si="23"/>
        <v>0.29433994442552347</v>
      </c>
      <c r="AM130" s="158">
        <f t="shared" si="24"/>
        <v>10.451330583574476</v>
      </c>
    </row>
    <row r="131" spans="32:39" ht="15.75" customHeight="1">
      <c r="AF131" s="159">
        <f t="shared" si="19"/>
        <v>89</v>
      </c>
      <c r="AG131" s="158">
        <f t="shared" si="20"/>
        <v>5.2192799184670822</v>
      </c>
      <c r="AH131" s="158">
        <f t="shared" si="21"/>
        <v>12</v>
      </c>
      <c r="AI131" s="167">
        <f t="shared" si="17"/>
        <v>0.29425589641671884</v>
      </c>
      <c r="AJ131" s="167">
        <f t="shared" si="22"/>
        <v>1.5480000000000001E-2</v>
      </c>
      <c r="AK131" s="158">
        <f t="shared" si="18"/>
        <v>10.745670528</v>
      </c>
      <c r="AL131" s="158">
        <f t="shared" si="23"/>
        <v>0.28981864718019956</v>
      </c>
      <c r="AM131" s="158">
        <f t="shared" si="24"/>
        <v>10.4558518808198</v>
      </c>
    </row>
    <row r="132" spans="32:39">
      <c r="AF132" s="159">
        <f t="shared" si="19"/>
        <v>90</v>
      </c>
      <c r="AG132" s="158">
        <f t="shared" si="20"/>
        <v>5.1391076000444693</v>
      </c>
      <c r="AH132" s="158">
        <f t="shared" si="21"/>
        <v>12</v>
      </c>
      <c r="AI132" s="167">
        <f t="shared" si="17"/>
        <v>0.29425589641671884</v>
      </c>
      <c r="AJ132" s="167">
        <f t="shared" si="22"/>
        <v>1.5480000000000001E-2</v>
      </c>
      <c r="AK132" s="158">
        <f t="shared" si="18"/>
        <v>10.745670528</v>
      </c>
      <c r="AL132" s="158">
        <f t="shared" si="23"/>
        <v>0.28536680068884301</v>
      </c>
      <c r="AM132" s="158">
        <f t="shared" si="24"/>
        <v>10.460303727311157</v>
      </c>
    </row>
    <row r="133" spans="32:39">
      <c r="AF133" s="159">
        <f t="shared" si="19"/>
        <v>91</v>
      </c>
      <c r="AG133" s="158">
        <f t="shared" si="20"/>
        <v>5.0601667926236935</v>
      </c>
      <c r="AH133" s="158">
        <f t="shared" si="21"/>
        <v>12</v>
      </c>
      <c r="AI133" s="167">
        <f t="shared" si="17"/>
        <v>0.29425589641671884</v>
      </c>
      <c r="AJ133" s="167">
        <f t="shared" si="22"/>
        <v>1.5480000000000001E-2</v>
      </c>
      <c r="AK133" s="158">
        <f t="shared" si="18"/>
        <v>10.745670528</v>
      </c>
      <c r="AL133" s="158">
        <f t="shared" si="23"/>
        <v>0.28098333813016296</v>
      </c>
      <c r="AM133" s="158">
        <f t="shared" si="24"/>
        <v>10.464687189869837</v>
      </c>
    </row>
    <row r="134" spans="32:39">
      <c r="AF134" s="159">
        <f t="shared" si="19"/>
        <v>92</v>
      </c>
      <c r="AG134" s="158">
        <f t="shared" si="20"/>
        <v>4.9824385792097425</v>
      </c>
      <c r="AH134" s="158">
        <f t="shared" si="21"/>
        <v>12</v>
      </c>
      <c r="AI134" s="167">
        <f t="shared" si="17"/>
        <v>0.29425589641671884</v>
      </c>
      <c r="AJ134" s="167">
        <f t="shared" si="22"/>
        <v>1.5480000000000001E-2</v>
      </c>
      <c r="AK134" s="158">
        <f t="shared" si="18"/>
        <v>10.745670528</v>
      </c>
      <c r="AL134" s="158">
        <f t="shared" si="23"/>
        <v>0.27666720907063436</v>
      </c>
      <c r="AM134" s="158">
        <f t="shared" si="24"/>
        <v>10.469003318929365</v>
      </c>
    </row>
    <row r="135" spans="32:39">
      <c r="AF135" s="159">
        <f t="shared" si="19"/>
        <v>93</v>
      </c>
      <c r="AG135" s="158">
        <f t="shared" si="20"/>
        <v>4.9059043333877952</v>
      </c>
      <c r="AH135" s="158">
        <f t="shared" si="21"/>
        <v>12</v>
      </c>
      <c r="AI135" s="167">
        <f t="shared" si="17"/>
        <v>0.29425589641671884</v>
      </c>
      <c r="AJ135" s="167">
        <f t="shared" si="22"/>
        <v>1.5480000000000001E-2</v>
      </c>
      <c r="AK135" s="158">
        <f t="shared" si="18"/>
        <v>10.745670528</v>
      </c>
      <c r="AL135" s="158">
        <f t="shared" si="23"/>
        <v>0.2724173792126301</v>
      </c>
      <c r="AM135" s="158">
        <f t="shared" si="24"/>
        <v>10.47325314878737</v>
      </c>
    </row>
    <row r="136" spans="32:39">
      <c r="AF136" s="159">
        <f t="shared" si="19"/>
        <v>94</v>
      </c>
      <c r="AG136" s="158">
        <f t="shared" si="20"/>
        <v>4.8305457148596744</v>
      </c>
      <c r="AH136" s="158">
        <f t="shared" si="21"/>
        <v>12</v>
      </c>
      <c r="AI136" s="167">
        <f t="shared" si="17"/>
        <v>0.29425589641671884</v>
      </c>
      <c r="AJ136" s="167">
        <f t="shared" si="22"/>
        <v>1.5480000000000001E-2</v>
      </c>
      <c r="AK136" s="158">
        <f t="shared" si="18"/>
        <v>10.745670528</v>
      </c>
      <c r="AL136" s="158">
        <f t="shared" si="23"/>
        <v>0.26823283014646293</v>
      </c>
      <c r="AM136" s="158">
        <f t="shared" si="24"/>
        <v>10.477437697853537</v>
      </c>
    </row>
    <row r="137" spans="32:39">
      <c r="AF137" s="159">
        <f t="shared" si="19"/>
        <v>95</v>
      </c>
      <c r="AG137" s="158">
        <f t="shared" si="20"/>
        <v>4.7563446650488679</v>
      </c>
      <c r="AH137" s="158">
        <f t="shared" si="21"/>
        <v>12</v>
      </c>
      <c r="AI137" s="167">
        <f t="shared" si="17"/>
        <v>0.29425589641671884</v>
      </c>
      <c r="AJ137" s="167">
        <f t="shared" si="22"/>
        <v>1.5480000000000001E-2</v>
      </c>
      <c r="AK137" s="158">
        <f t="shared" si="18"/>
        <v>10.745670528</v>
      </c>
      <c r="AL137" s="158">
        <f t="shared" si="23"/>
        <v>0.26411255910625364</v>
      </c>
      <c r="AM137" s="158">
        <f t="shared" si="24"/>
        <v>10.481557968893746</v>
      </c>
    </row>
    <row r="138" spans="32:39">
      <c r="AF138" s="159">
        <f t="shared" si="19"/>
        <v>96</v>
      </c>
      <c r="AG138" s="158">
        <f t="shared" si="20"/>
        <v>4.6832834027730579</v>
      </c>
      <c r="AH138" s="158">
        <f t="shared" si="21"/>
        <v>12</v>
      </c>
      <c r="AI138" s="167">
        <f t="shared" si="17"/>
        <v>0.29425589641671884</v>
      </c>
      <c r="AJ138" s="167">
        <f t="shared" si="22"/>
        <v>1.5480000000000001E-2</v>
      </c>
      <c r="AK138" s="158">
        <f t="shared" si="18"/>
        <v>10.745670528</v>
      </c>
      <c r="AL138" s="158">
        <f t="shared" si="23"/>
        <v>0.26005557872957397</v>
      </c>
      <c r="AM138" s="158">
        <f t="shared" si="24"/>
        <v>10.485614949270426</v>
      </c>
    </row>
    <row r="139" spans="32:39">
      <c r="AF139" s="159">
        <f t="shared" si="19"/>
        <v>97</v>
      </c>
      <c r="AG139" s="158">
        <f t="shared" si="20"/>
        <v>4.6113444199831228</v>
      </c>
      <c r="AH139" s="158">
        <f t="shared" si="21"/>
        <v>12</v>
      </c>
      <c r="AI139" s="167">
        <f t="shared" si="17"/>
        <v>0.29425589641671884</v>
      </c>
      <c r="AJ139" s="167">
        <f t="shared" si="22"/>
        <v>1.5480000000000001E-2</v>
      </c>
      <c r="AK139" s="158">
        <f t="shared" si="18"/>
        <v>10.745670528</v>
      </c>
      <c r="AL139" s="158">
        <f t="shared" si="23"/>
        <v>0.25606091682079857</v>
      </c>
      <c r="AM139" s="158">
        <f t="shared" si="24"/>
        <v>10.489609611179201</v>
      </c>
    </row>
    <row r="140" spans="32:39">
      <c r="AF140" s="159">
        <f t="shared" si="19"/>
        <v>98</v>
      </c>
      <c r="AG140" s="158">
        <f t="shared" si="20"/>
        <v>4.5405104775675937</v>
      </c>
      <c r="AH140" s="158">
        <f t="shared" si="21"/>
        <v>12</v>
      </c>
      <c r="AI140" s="167">
        <f t="shared" si="17"/>
        <v>0.29425589641671884</v>
      </c>
      <c r="AJ140" s="167">
        <f t="shared" si="22"/>
        <v>1.5480000000000001E-2</v>
      </c>
      <c r="AK140" s="158">
        <f t="shared" si="18"/>
        <v>10.745670528</v>
      </c>
      <c r="AL140" s="158">
        <f t="shared" si="23"/>
        <v>0.25212761611809675</v>
      </c>
      <c r="AM140" s="158">
        <f t="shared" si="24"/>
        <v>10.493542911881903</v>
      </c>
    </row>
    <row r="141" spans="32:39">
      <c r="AF141" s="159">
        <f t="shared" si="19"/>
        <v>99</v>
      </c>
      <c r="AG141" s="158">
        <f t="shared" si="20"/>
        <v>4.4707646012215569</v>
      </c>
      <c r="AH141" s="158">
        <f t="shared" si="21"/>
        <v>12</v>
      </c>
      <c r="AI141" s="167">
        <f t="shared" si="17"/>
        <v>0.29425589641671884</v>
      </c>
      <c r="AJ141" s="167">
        <f t="shared" si="22"/>
        <v>1.5480000000000001E-2</v>
      </c>
      <c r="AK141" s="158">
        <f t="shared" si="18"/>
        <v>10.745670528</v>
      </c>
      <c r="AL141" s="158">
        <f t="shared" si="23"/>
        <v>0.24825473406401422</v>
      </c>
      <c r="AM141" s="158">
        <f t="shared" si="24"/>
        <v>10.497415793935986</v>
      </c>
    </row>
    <row r="142" spans="32:39">
      <c r="AF142" s="159">
        <f t="shared" si="19"/>
        <v>100</v>
      </c>
      <c r="AG142" s="158">
        <f t="shared" si="20"/>
        <v>4.4020900773790128</v>
      </c>
      <c r="AH142" s="158">
        <f t="shared" si="21"/>
        <v>12</v>
      </c>
      <c r="AI142" s="167">
        <f t="shared" si="17"/>
        <v>0.29425589641671884</v>
      </c>
      <c r="AJ142" s="167">
        <f t="shared" si="22"/>
        <v>1.5480000000000001E-2</v>
      </c>
      <c r="AK142" s="158">
        <f t="shared" si="18"/>
        <v>10.745670528</v>
      </c>
      <c r="AL142" s="158">
        <f t="shared" si="23"/>
        <v>0.24444134257958439</v>
      </c>
      <c r="AM142" s="158">
        <f t="shared" si="24"/>
        <v>10.501229185420415</v>
      </c>
    </row>
  </sheetData>
  <sheetProtection sheet="1" objects="1" scenarios="1"/>
  <mergeCells count="456">
    <mergeCell ref="A4:H4"/>
    <mergeCell ref="J4:O4"/>
    <mergeCell ref="A5:E5"/>
    <mergeCell ref="A6:E6"/>
    <mergeCell ref="A7:E7"/>
    <mergeCell ref="A8:E8"/>
    <mergeCell ref="A17:E17"/>
    <mergeCell ref="A18:E18"/>
    <mergeCell ref="A20:H20"/>
    <mergeCell ref="A21:E21"/>
    <mergeCell ref="A22:E22"/>
    <mergeCell ref="A23:E23"/>
    <mergeCell ref="A10:H10"/>
    <mergeCell ref="A11:E11"/>
    <mergeCell ref="A12:E12"/>
    <mergeCell ref="A13:E13"/>
    <mergeCell ref="A14:E14"/>
    <mergeCell ref="A16:H16"/>
    <mergeCell ref="A31:E31"/>
    <mergeCell ref="A32:E32"/>
    <mergeCell ref="A33:E33"/>
    <mergeCell ref="A34:E34"/>
    <mergeCell ref="A36:H36"/>
    <mergeCell ref="A37:E37"/>
    <mergeCell ref="A24:E24"/>
    <mergeCell ref="A25:E25"/>
    <mergeCell ref="A27:H27"/>
    <mergeCell ref="A28:E28"/>
    <mergeCell ref="A38:E38"/>
    <mergeCell ref="A40:B40"/>
    <mergeCell ref="C40:D40"/>
    <mergeCell ref="E40:F40"/>
    <mergeCell ref="G40:H40"/>
    <mergeCell ref="A41:B41"/>
    <mergeCell ref="C41:D41"/>
    <mergeCell ref="E41:F41"/>
    <mergeCell ref="G41:H41"/>
    <mergeCell ref="A44:B44"/>
    <mergeCell ref="C44:D44"/>
    <mergeCell ref="E44:F44"/>
    <mergeCell ref="G44:H44"/>
    <mergeCell ref="A45:B45"/>
    <mergeCell ref="C45:D45"/>
    <mergeCell ref="E45:F45"/>
    <mergeCell ref="G45:H45"/>
    <mergeCell ref="A42:B42"/>
    <mergeCell ref="C42:D42"/>
    <mergeCell ref="E42:F42"/>
    <mergeCell ref="G42:H42"/>
    <mergeCell ref="A43:B43"/>
    <mergeCell ref="C43:D43"/>
    <mergeCell ref="E43:F43"/>
    <mergeCell ref="G43:H43"/>
    <mergeCell ref="A48:B48"/>
    <mergeCell ref="C48:D48"/>
    <mergeCell ref="E48:F48"/>
    <mergeCell ref="G48:H48"/>
    <mergeCell ref="A49:B49"/>
    <mergeCell ref="C49:D49"/>
    <mergeCell ref="E49:F49"/>
    <mergeCell ref="G49:H49"/>
    <mergeCell ref="A46:B46"/>
    <mergeCell ref="C46:D46"/>
    <mergeCell ref="E46:F46"/>
    <mergeCell ref="G46:H46"/>
    <mergeCell ref="A47:B47"/>
    <mergeCell ref="C47:D47"/>
    <mergeCell ref="E47:F47"/>
    <mergeCell ref="G47:H47"/>
    <mergeCell ref="A52:B52"/>
    <mergeCell ref="C52:D52"/>
    <mergeCell ref="E52:F52"/>
    <mergeCell ref="G52:H52"/>
    <mergeCell ref="A53:B53"/>
    <mergeCell ref="C53:D53"/>
    <mergeCell ref="E53:F53"/>
    <mergeCell ref="G53:H53"/>
    <mergeCell ref="A50:B50"/>
    <mergeCell ref="C50:D50"/>
    <mergeCell ref="E50:F50"/>
    <mergeCell ref="G50:H50"/>
    <mergeCell ref="A51:B51"/>
    <mergeCell ref="C51:D51"/>
    <mergeCell ref="E51:F51"/>
    <mergeCell ref="G51:H51"/>
    <mergeCell ref="A56:B56"/>
    <mergeCell ref="C56:D56"/>
    <mergeCell ref="E56:F56"/>
    <mergeCell ref="G56:H56"/>
    <mergeCell ref="A57:B57"/>
    <mergeCell ref="C57:D57"/>
    <mergeCell ref="E57:F57"/>
    <mergeCell ref="G57:H57"/>
    <mergeCell ref="A54:B54"/>
    <mergeCell ref="C54:D54"/>
    <mergeCell ref="E54:F54"/>
    <mergeCell ref="G54:H54"/>
    <mergeCell ref="A55:B55"/>
    <mergeCell ref="C55:D55"/>
    <mergeCell ref="E55:F55"/>
    <mergeCell ref="G55:H55"/>
    <mergeCell ref="A60:B60"/>
    <mergeCell ref="C60:D60"/>
    <mergeCell ref="E60:F60"/>
    <mergeCell ref="G60:H60"/>
    <mergeCell ref="A61:B61"/>
    <mergeCell ref="C61:D61"/>
    <mergeCell ref="E61:F61"/>
    <mergeCell ref="G61:H61"/>
    <mergeCell ref="A58:B58"/>
    <mergeCell ref="C58:D58"/>
    <mergeCell ref="E58:F58"/>
    <mergeCell ref="G58:H58"/>
    <mergeCell ref="A59:B59"/>
    <mergeCell ref="C59:D59"/>
    <mergeCell ref="E59:F59"/>
    <mergeCell ref="G59:H59"/>
    <mergeCell ref="A64:B64"/>
    <mergeCell ref="C64:D64"/>
    <mergeCell ref="E64:F64"/>
    <mergeCell ref="G64:H64"/>
    <mergeCell ref="A65:B65"/>
    <mergeCell ref="C65:D65"/>
    <mergeCell ref="E65:F65"/>
    <mergeCell ref="G65:H65"/>
    <mergeCell ref="A62:B62"/>
    <mergeCell ref="C62:D62"/>
    <mergeCell ref="E62:F62"/>
    <mergeCell ref="G62:H62"/>
    <mergeCell ref="A63:B63"/>
    <mergeCell ref="C63:D63"/>
    <mergeCell ref="E63:F63"/>
    <mergeCell ref="G63:H63"/>
    <mergeCell ref="A68:B68"/>
    <mergeCell ref="C68:D68"/>
    <mergeCell ref="E68:F68"/>
    <mergeCell ref="G68:H68"/>
    <mergeCell ref="A69:B69"/>
    <mergeCell ref="C69:D69"/>
    <mergeCell ref="E69:F69"/>
    <mergeCell ref="G69:H69"/>
    <mergeCell ref="A66:B66"/>
    <mergeCell ref="C66:D66"/>
    <mergeCell ref="E66:F66"/>
    <mergeCell ref="G66:H66"/>
    <mergeCell ref="A67:B67"/>
    <mergeCell ref="C67:D67"/>
    <mergeCell ref="E67:F67"/>
    <mergeCell ref="G67:H67"/>
    <mergeCell ref="A72:B72"/>
    <mergeCell ref="C72:D72"/>
    <mergeCell ref="E72:F72"/>
    <mergeCell ref="G72:H72"/>
    <mergeCell ref="A73:B73"/>
    <mergeCell ref="C73:D73"/>
    <mergeCell ref="E73:F73"/>
    <mergeCell ref="G73:H73"/>
    <mergeCell ref="A70:B70"/>
    <mergeCell ref="C70:D70"/>
    <mergeCell ref="E70:F70"/>
    <mergeCell ref="G70:H70"/>
    <mergeCell ref="A71:B71"/>
    <mergeCell ref="C71:D71"/>
    <mergeCell ref="E71:F71"/>
    <mergeCell ref="G71:H71"/>
    <mergeCell ref="E76:F76"/>
    <mergeCell ref="G76:H76"/>
    <mergeCell ref="A77:B77"/>
    <mergeCell ref="C77:D77"/>
    <mergeCell ref="E77:F77"/>
    <mergeCell ref="G77:H77"/>
    <mergeCell ref="A74:B74"/>
    <mergeCell ref="C74:D74"/>
    <mergeCell ref="E74:F74"/>
    <mergeCell ref="G74:H74"/>
    <mergeCell ref="A75:B75"/>
    <mergeCell ref="C75:D75"/>
    <mergeCell ref="E75:F75"/>
    <mergeCell ref="G75:H75"/>
    <mergeCell ref="A82:B82"/>
    <mergeCell ref="C82:D82"/>
    <mergeCell ref="E82:F82"/>
    <mergeCell ref="G82:H82"/>
    <mergeCell ref="A30:E30"/>
    <mergeCell ref="A29:E29"/>
    <mergeCell ref="A80:B80"/>
    <mergeCell ref="C80:D80"/>
    <mergeCell ref="E80:F80"/>
    <mergeCell ref="G80:H80"/>
    <mergeCell ref="A81:B81"/>
    <mergeCell ref="C81:D81"/>
    <mergeCell ref="E81:F81"/>
    <mergeCell ref="G81:H81"/>
    <mergeCell ref="A78:B78"/>
    <mergeCell ref="C78:D78"/>
    <mergeCell ref="E78:F78"/>
    <mergeCell ref="G78:H78"/>
    <mergeCell ref="A79:B79"/>
    <mergeCell ref="C79:D79"/>
    <mergeCell ref="E79:F79"/>
    <mergeCell ref="G79:H79"/>
    <mergeCell ref="A76:B76"/>
    <mergeCell ref="C76:D76"/>
    <mergeCell ref="Q6:U6"/>
    <mergeCell ref="Q7:U7"/>
    <mergeCell ref="Q8:U8"/>
    <mergeCell ref="Q10:X10"/>
    <mergeCell ref="Q11:U11"/>
    <mergeCell ref="Q12:U12"/>
    <mergeCell ref="Q4:X4"/>
    <mergeCell ref="Z4:AE4"/>
    <mergeCell ref="Q5:U5"/>
    <mergeCell ref="Q21:U21"/>
    <mergeCell ref="Q22:U22"/>
    <mergeCell ref="Q23:U23"/>
    <mergeCell ref="Q24:U24"/>
    <mergeCell ref="Q25:U25"/>
    <mergeCell ref="Q26:U26"/>
    <mergeCell ref="Q13:U13"/>
    <mergeCell ref="Q15:X15"/>
    <mergeCell ref="Q16:U16"/>
    <mergeCell ref="Q17:U17"/>
    <mergeCell ref="Q19:X19"/>
    <mergeCell ref="Q20:U20"/>
    <mergeCell ref="Q33:U33"/>
    <mergeCell ref="Q34:U34"/>
    <mergeCell ref="Q35:U35"/>
    <mergeCell ref="Q37:X37"/>
    <mergeCell ref="Q38:U38"/>
    <mergeCell ref="Q39:U39"/>
    <mergeCell ref="Q27:U27"/>
    <mergeCell ref="Q28:U28"/>
    <mergeCell ref="Q29:U29"/>
    <mergeCell ref="Q30:U30"/>
    <mergeCell ref="Q31:U31"/>
    <mergeCell ref="Q32:U32"/>
    <mergeCell ref="Q48:U48"/>
    <mergeCell ref="Q49:U49"/>
    <mergeCell ref="Q50:U50"/>
    <mergeCell ref="Q51:U51"/>
    <mergeCell ref="Q54:X54"/>
    <mergeCell ref="Q55:U55"/>
    <mergeCell ref="Q40:U40"/>
    <mergeCell ref="Q41:U41"/>
    <mergeCell ref="Q42:U42"/>
    <mergeCell ref="Q45:U45"/>
    <mergeCell ref="Q46:U46"/>
    <mergeCell ref="Q47:U47"/>
    <mergeCell ref="Q56:U56"/>
    <mergeCell ref="Q58:R58"/>
    <mergeCell ref="S58:T58"/>
    <mergeCell ref="U58:V58"/>
    <mergeCell ref="W58:X58"/>
    <mergeCell ref="Q59:R59"/>
    <mergeCell ref="S59:T59"/>
    <mergeCell ref="U59:V59"/>
    <mergeCell ref="W59:X59"/>
    <mergeCell ref="Q62:R62"/>
    <mergeCell ref="S62:T62"/>
    <mergeCell ref="U62:V62"/>
    <mergeCell ref="W62:X62"/>
    <mergeCell ref="Q63:R63"/>
    <mergeCell ref="S63:T63"/>
    <mergeCell ref="U63:V63"/>
    <mergeCell ref="W63:X63"/>
    <mergeCell ref="Q60:R60"/>
    <mergeCell ref="S60:T60"/>
    <mergeCell ref="U60:V60"/>
    <mergeCell ref="W60:X60"/>
    <mergeCell ref="Q61:R61"/>
    <mergeCell ref="S61:T61"/>
    <mergeCell ref="U61:V61"/>
    <mergeCell ref="W61:X61"/>
    <mergeCell ref="Q66:R66"/>
    <mergeCell ref="S66:T66"/>
    <mergeCell ref="U66:V66"/>
    <mergeCell ref="W66:X66"/>
    <mergeCell ref="Q67:R67"/>
    <mergeCell ref="S67:T67"/>
    <mergeCell ref="U67:V67"/>
    <mergeCell ref="W67:X67"/>
    <mergeCell ref="Q64:R64"/>
    <mergeCell ref="S64:T64"/>
    <mergeCell ref="U64:V64"/>
    <mergeCell ref="W64:X64"/>
    <mergeCell ref="Q65:R65"/>
    <mergeCell ref="S65:T65"/>
    <mergeCell ref="U65:V65"/>
    <mergeCell ref="W65:X65"/>
    <mergeCell ref="Q70:R70"/>
    <mergeCell ref="S70:T70"/>
    <mergeCell ref="U70:V70"/>
    <mergeCell ref="W70:X70"/>
    <mergeCell ref="Q71:R71"/>
    <mergeCell ref="S71:T71"/>
    <mergeCell ref="U71:V71"/>
    <mergeCell ref="W71:X71"/>
    <mergeCell ref="Q68:R68"/>
    <mergeCell ref="S68:T68"/>
    <mergeCell ref="U68:V68"/>
    <mergeCell ref="W68:X68"/>
    <mergeCell ref="Q69:R69"/>
    <mergeCell ref="S69:T69"/>
    <mergeCell ref="U69:V69"/>
    <mergeCell ref="W69:X69"/>
    <mergeCell ref="Q74:R74"/>
    <mergeCell ref="S74:T74"/>
    <mergeCell ref="U74:V74"/>
    <mergeCell ref="W74:X74"/>
    <mergeCell ref="Q75:R75"/>
    <mergeCell ref="S75:T75"/>
    <mergeCell ref="U75:V75"/>
    <mergeCell ref="W75:X75"/>
    <mergeCell ref="Q72:R72"/>
    <mergeCell ref="S72:T72"/>
    <mergeCell ref="U72:V72"/>
    <mergeCell ref="W72:X72"/>
    <mergeCell ref="Q73:R73"/>
    <mergeCell ref="S73:T73"/>
    <mergeCell ref="U73:V73"/>
    <mergeCell ref="W73:X73"/>
    <mergeCell ref="Q78:R78"/>
    <mergeCell ref="S78:T78"/>
    <mergeCell ref="U78:V78"/>
    <mergeCell ref="W78:X78"/>
    <mergeCell ref="Q79:R79"/>
    <mergeCell ref="S79:T79"/>
    <mergeCell ref="U79:V79"/>
    <mergeCell ref="W79:X79"/>
    <mergeCell ref="Q76:R76"/>
    <mergeCell ref="S76:T76"/>
    <mergeCell ref="U76:V76"/>
    <mergeCell ref="W76:X76"/>
    <mergeCell ref="Q77:R77"/>
    <mergeCell ref="S77:T77"/>
    <mergeCell ref="U77:V77"/>
    <mergeCell ref="W77:X77"/>
    <mergeCell ref="Q82:R82"/>
    <mergeCell ref="S82:T82"/>
    <mergeCell ref="U82:V82"/>
    <mergeCell ref="W82:X82"/>
    <mergeCell ref="Q83:R83"/>
    <mergeCell ref="S83:T83"/>
    <mergeCell ref="U83:V83"/>
    <mergeCell ref="W83:X83"/>
    <mergeCell ref="Q80:R80"/>
    <mergeCell ref="S80:T80"/>
    <mergeCell ref="U80:V80"/>
    <mergeCell ref="W80:X80"/>
    <mergeCell ref="Q81:R81"/>
    <mergeCell ref="S81:T81"/>
    <mergeCell ref="U81:V81"/>
    <mergeCell ref="W81:X81"/>
    <mergeCell ref="Q86:R86"/>
    <mergeCell ref="S86:T86"/>
    <mergeCell ref="U86:V86"/>
    <mergeCell ref="W86:X86"/>
    <mergeCell ref="Q87:R87"/>
    <mergeCell ref="S87:T87"/>
    <mergeCell ref="U87:V87"/>
    <mergeCell ref="W87:X87"/>
    <mergeCell ref="Q84:R84"/>
    <mergeCell ref="S84:T84"/>
    <mergeCell ref="U84:V84"/>
    <mergeCell ref="W84:X84"/>
    <mergeCell ref="Q85:R85"/>
    <mergeCell ref="S85:T85"/>
    <mergeCell ref="U85:V85"/>
    <mergeCell ref="W85:X85"/>
    <mergeCell ref="W90:X90"/>
    <mergeCell ref="Q91:R91"/>
    <mergeCell ref="S91:T91"/>
    <mergeCell ref="U91:V91"/>
    <mergeCell ref="W91:X91"/>
    <mergeCell ref="Q88:R88"/>
    <mergeCell ref="S88:T88"/>
    <mergeCell ref="U88:V88"/>
    <mergeCell ref="W88:X88"/>
    <mergeCell ref="Q89:R89"/>
    <mergeCell ref="S89:T89"/>
    <mergeCell ref="U89:V89"/>
    <mergeCell ref="W89:X89"/>
    <mergeCell ref="AF4:AM4"/>
    <mergeCell ref="AO4:AT4"/>
    <mergeCell ref="AF5:AJ5"/>
    <mergeCell ref="Q98:R98"/>
    <mergeCell ref="S98:T98"/>
    <mergeCell ref="U98:V98"/>
    <mergeCell ref="W98:X98"/>
    <mergeCell ref="Q99:R99"/>
    <mergeCell ref="S99:T99"/>
    <mergeCell ref="U99:V99"/>
    <mergeCell ref="W99:X99"/>
    <mergeCell ref="Q96:R96"/>
    <mergeCell ref="S96:T96"/>
    <mergeCell ref="U96:V96"/>
    <mergeCell ref="W96:X96"/>
    <mergeCell ref="Q97:R97"/>
    <mergeCell ref="S97:T97"/>
    <mergeCell ref="U97:V97"/>
    <mergeCell ref="W97:X97"/>
    <mergeCell ref="Q94:R94"/>
    <mergeCell ref="S94:T94"/>
    <mergeCell ref="U94:V94"/>
    <mergeCell ref="W94:X94"/>
    <mergeCell ref="Q95:R95"/>
    <mergeCell ref="AF6:AJ6"/>
    <mergeCell ref="AF7:AJ7"/>
    <mergeCell ref="AF8:AJ8"/>
    <mergeCell ref="AF11:AM11"/>
    <mergeCell ref="AF12:AJ12"/>
    <mergeCell ref="AF13:AJ13"/>
    <mergeCell ref="Q100:R100"/>
    <mergeCell ref="S100:T100"/>
    <mergeCell ref="U100:V100"/>
    <mergeCell ref="W100:X100"/>
    <mergeCell ref="S95:T95"/>
    <mergeCell ref="U95:V95"/>
    <mergeCell ref="W95:X95"/>
    <mergeCell ref="Q92:R92"/>
    <mergeCell ref="S92:T92"/>
    <mergeCell ref="U92:V92"/>
    <mergeCell ref="W92:X92"/>
    <mergeCell ref="Q93:R93"/>
    <mergeCell ref="S93:T93"/>
    <mergeCell ref="U93:V93"/>
    <mergeCell ref="W93:X93"/>
    <mergeCell ref="Q90:R90"/>
    <mergeCell ref="S90:T90"/>
    <mergeCell ref="U90:V90"/>
    <mergeCell ref="AF22:AJ22"/>
    <mergeCell ref="AF23:AJ23"/>
    <mergeCell ref="AF24:AJ24"/>
    <mergeCell ref="AF26:AM26"/>
    <mergeCell ref="AF27:AJ27"/>
    <mergeCell ref="AF28:AJ28"/>
    <mergeCell ref="AF14:AJ14"/>
    <mergeCell ref="AF15:AJ15"/>
    <mergeCell ref="AF16:AJ16"/>
    <mergeCell ref="AF19:AM19"/>
    <mergeCell ref="AF20:AJ20"/>
    <mergeCell ref="AF21:AJ21"/>
    <mergeCell ref="AK38:AK40"/>
    <mergeCell ref="AL38:AL40"/>
    <mergeCell ref="AM38:AM40"/>
    <mergeCell ref="AF38:AF40"/>
    <mergeCell ref="AG38:AG40"/>
    <mergeCell ref="AH38:AH40"/>
    <mergeCell ref="AI38:AI40"/>
    <mergeCell ref="AJ38:AJ40"/>
    <mergeCell ref="AF29:AJ29"/>
    <mergeCell ref="AF30:AJ30"/>
    <mergeCell ref="AF32:AJ32"/>
    <mergeCell ref="AF34:AM34"/>
    <mergeCell ref="AF35:AJ35"/>
    <mergeCell ref="AF36:AJ36"/>
  </mergeCells>
  <pageMargins left="0.7" right="0.7" top="0.75" bottom="0.75" header="0.3" footer="0.3"/>
  <drawing r:id="rId1"/>
  <legacyDrawing r:id="rId2"/>
  <oleObjects>
    <mc:AlternateContent xmlns:mc="http://schemas.openxmlformats.org/markup-compatibility/2006">
      <mc:Choice Requires="x14">
        <oleObject progId="Equation.3" shapeId="4280" r:id="rId3">
          <objectPr defaultSize="0" autoPict="0" r:id="rId4">
            <anchor moveWithCells="1" sizeWithCells="1">
              <from>
                <xdr:col>40</xdr:col>
                <xdr:colOff>0</xdr:colOff>
                <xdr:row>42</xdr:row>
                <xdr:rowOff>190500</xdr:rowOff>
              </from>
              <to>
                <xdr:col>45</xdr:col>
                <xdr:colOff>177800</xdr:colOff>
                <xdr:row>46</xdr:row>
                <xdr:rowOff>63500</xdr:rowOff>
              </to>
            </anchor>
          </objectPr>
        </oleObject>
      </mc:Choice>
      <mc:Fallback>
        <oleObject progId="Equation.3" shapeId="4280" r:id="rId3"/>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8"/>
  <sheetViews>
    <sheetView workbookViewId="0"/>
  </sheetViews>
  <sheetFormatPr baseColWidth="10" defaultColWidth="8.83203125" defaultRowHeight="15"/>
  <sheetData>
    <row r="1" spans="1:1" ht="18" customHeight="1">
      <c r="A1" s="19" t="s">
        <v>184</v>
      </c>
    </row>
    <row r="2" spans="1:1" ht="18" customHeight="1">
      <c r="A2" s="19"/>
    </row>
    <row r="3" spans="1:1" ht="18" customHeight="1">
      <c r="A3" s="93" t="s">
        <v>182</v>
      </c>
    </row>
    <row r="4" spans="1:1" ht="18" customHeight="1">
      <c r="A4" s="93" t="s">
        <v>180</v>
      </c>
    </row>
    <row r="5" spans="1:1" ht="18" customHeight="1">
      <c r="A5" s="93" t="s">
        <v>183</v>
      </c>
    </row>
    <row r="6" spans="1:1" ht="18" customHeight="1">
      <c r="A6" s="93" t="s">
        <v>181</v>
      </c>
    </row>
    <row r="7" spans="1:1" ht="18" customHeight="1">
      <c r="A7" s="93" t="s">
        <v>185</v>
      </c>
    </row>
    <row r="8" spans="1:1" ht="18" customHeight="1">
      <c r="A8" t="s">
        <v>231</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disclaimer</vt:lpstr>
      <vt:lpstr>1. Dilution flows</vt:lpstr>
      <vt:lpstr>2. Flow over structures</vt:lpstr>
      <vt:lpstr>3. Lake wind reaeration</vt:lpstr>
      <vt:lpstr>worksheet</vt:lpstr>
      <vt:lpstr>references</vt:lpstr>
    </vt:vector>
  </TitlesOfParts>
  <Company>La Trobe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Baldwin</dc:creator>
  <cp:lastModifiedBy>Darren Baldwin</cp:lastModifiedBy>
  <dcterms:created xsi:type="dcterms:W3CDTF">2010-10-22T02:23:50Z</dcterms:created>
  <dcterms:modified xsi:type="dcterms:W3CDTF">2021-01-11T23:13:06Z</dcterms:modified>
</cp:coreProperties>
</file>